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2105" windowHeight="6450" tabRatio="599" firstSheet="3" activeTab="3"/>
  </bookViews>
  <sheets>
    <sheet name="Dochody.1" sheetId="1" r:id="rId1"/>
    <sheet name="Doch-adm.rzą.2" sheetId="2" r:id="rId2"/>
    <sheet name="Wydatki.3" sheetId="3" r:id="rId3"/>
    <sheet name="Adm.rzą.4" sheetId="4" r:id="rId4"/>
    <sheet name="Przych.5" sheetId="5" r:id="rId5"/>
    <sheet name="3 Limity.6" sheetId="6" r:id="rId6"/>
    <sheet name="3a Programy.7" sheetId="7" r:id="rId7"/>
    <sheet name="4-Inwes.8" sheetId="8" r:id="rId8"/>
    <sheet name="Gm.F -tab 9" sheetId="9" r:id="rId9"/>
    <sheet name="Prognoza.10 " sheetId="10" r:id="rId10"/>
    <sheet name="Dotacje.zał.1 " sheetId="11" r:id="rId11"/>
    <sheet name="Zakl.Bud.-Zał.2" sheetId="12" r:id="rId12"/>
  </sheets>
  <definedNames/>
  <calcPr fullCalcOnLoad="1"/>
</workbook>
</file>

<file path=xl/sharedStrings.xml><?xml version="1.0" encoding="utf-8"?>
<sst xmlns="http://schemas.openxmlformats.org/spreadsheetml/2006/main" count="1190" uniqueCount="565">
  <si>
    <t>Wyszczególnienie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</si>
  <si>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</si>
  <si>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</si>
  <si>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</si>
  <si>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</si>
  <si>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</si>
  <si>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</si>
  <si>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</si>
  <si>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</si>
  <si>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</si>
  <si>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</si>
  <si>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</si>
  <si>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</si>
  <si>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</si>
  <si>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</si>
  <si>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</si>
  <si>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</si>
  <si>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</si>
  <si>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</si>
  <si>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</si>
  <si>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</si>
  <si>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</si>
  <si>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992</t>
  </si>
  <si>
    <t>§ 995</t>
  </si>
  <si>
    <t>§ 994</t>
  </si>
  <si>
    <t>§ 982</t>
  </si>
  <si>
    <t>Rozchody z tytułu innych rozliczeń</t>
  </si>
  <si>
    <t>w złotych</t>
  </si>
  <si>
    <t>Nazwa zadania</t>
  </si>
  <si>
    <t>Kwota dotacji</t>
  </si>
  <si>
    <t>§ 991</t>
  </si>
  <si>
    <t>Inne źródła (wolne środki)</t>
  </si>
  <si>
    <t>§ 903</t>
  </si>
  <si>
    <t>§ 951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</si>
  <si>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</si>
  <si>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</si>
  <si>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</si>
  <si>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</si>
  <si>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</si>
  <si>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</si>
  <si>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</si>
  <si>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z tego:</t>
  </si>
  <si>
    <t>obligacje</t>
  </si>
  <si>
    <t>1.1</t>
  </si>
  <si>
    <t>1.2</t>
  </si>
  <si>
    <t>2.1</t>
  </si>
  <si>
    <t>Wydatki
bieżące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</si>
  <si>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</si>
  <si>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</si>
  <si>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</si>
  <si>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</si>
  <si>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Źródło dochodów</t>
  </si>
  <si>
    <t>Papiery wartościowe (obligacje)</t>
  </si>
  <si>
    <t>Wykup papierów wartościowych (obligacji)</t>
  </si>
  <si>
    <t>§ 944</t>
  </si>
  <si>
    <t>010</t>
  </si>
  <si>
    <t>Rolnictwo i łowiectwo</t>
  </si>
  <si>
    <t>Pozostała działalność</t>
  </si>
  <si>
    <t>0830</t>
  </si>
  <si>
    <t>Wpływy z usług</t>
  </si>
  <si>
    <t>400</t>
  </si>
  <si>
    <t>Wytwarzanie i zaopatrywanie w energię elektryczną, gaz i wodę</t>
  </si>
  <si>
    <t>Dostarczanie wody</t>
  </si>
  <si>
    <t>0910</t>
  </si>
  <si>
    <t>Odsetki od nieterminowych wpłat z tytułu podatków i opłat</t>
  </si>
  <si>
    <t>Gospodarka mieszkaniowa</t>
  </si>
  <si>
    <t>Gospodarka gruntami i nieruchomościami</t>
  </si>
  <si>
    <t>0470</t>
  </si>
  <si>
    <t>0750</t>
  </si>
  <si>
    <t>0770</t>
  </si>
  <si>
    <t>Administracja publiczna</t>
  </si>
  <si>
    <t>Urzędy wojewódzkie</t>
  </si>
  <si>
    <t>2010</t>
  </si>
  <si>
    <t>2360</t>
  </si>
  <si>
    <t>0970</t>
  </si>
  <si>
    <t>Wpływy z różnych dochodów</t>
  </si>
  <si>
    <t>Urzędy naczelnych organów władzy państwowej, kontroli i ochrony prawa oraz sądownictwa</t>
  </si>
  <si>
    <t>Bezpieczeństwo publiczne i ochrona przeciwpożarowa</t>
  </si>
  <si>
    <t>Obrona cywilna</t>
  </si>
  <si>
    <t>0350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</si>
  <si>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</si>
  <si>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</si>
  <si>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</si>
  <si>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</si>
  <si>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</si>
  <si>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</si>
  <si>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</si>
  <si>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</si>
  <si>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</si>
  <si>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</si>
  <si>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0430</t>
  </si>
  <si>
    <t>0500</t>
  </si>
  <si>
    <t>Podatek od czynności cywilnoprawnych</t>
  </si>
  <si>
    <t>0690</t>
  </si>
  <si>
    <t>Wpływy z innych opłat stanowiących dochody jednostek samorządu terytorialnego na podstawie ustaw</t>
  </si>
  <si>
    <t>0410</t>
  </si>
  <si>
    <t>0490</t>
  </si>
  <si>
    <t>0010</t>
  </si>
  <si>
    <t>Różne rozliczenia</t>
  </si>
  <si>
    <t>2920</t>
  </si>
  <si>
    <t>Subwencje ogólne z budżetu państwa</t>
  </si>
  <si>
    <t>Różne rozliczenia finansowe</t>
  </si>
  <si>
    <t>0920</t>
  </si>
  <si>
    <t>Pozostałe odsetki</t>
  </si>
  <si>
    <t>Oświata i wychowanie</t>
  </si>
  <si>
    <t>Ochrona zdrowia</t>
  </si>
  <si>
    <t>Przeciwdziałanie alkoholizmowi</t>
  </si>
  <si>
    <t>0480</t>
  </si>
  <si>
    <t>Wpływy z opłat za zezwolenia na sprzedaż alkoholu</t>
  </si>
  <si>
    <t>Pomoc społeczna</t>
  </si>
  <si>
    <t>2030</t>
  </si>
  <si>
    <t>Dotacje celowe otrzymane z budżetu państwa na realizację własnych zadań bieżących gmin</t>
  </si>
  <si>
    <t>Ośrodki pomocy społecznej</t>
  </si>
  <si>
    <t>Stołówki szkolne</t>
  </si>
  <si>
    <t>Zadania w zakresie kultury fizycznej i sportu</t>
  </si>
  <si>
    <t>1.2.1</t>
  </si>
  <si>
    <t>2.1.2</t>
  </si>
  <si>
    <t>2.1.3</t>
  </si>
  <si>
    <t>0020</t>
  </si>
  <si>
    <t>Świadczenia rodzinne, świadczenie z funduszu alimentacyjnego oraz składki na ubezpieczenia emerytalne i rentowe z ubezpieczenia społecznego</t>
  </si>
  <si>
    <t>Zasiłki stałe</t>
  </si>
  <si>
    <t>Przychody i rozchody budżetu w 2010 r.</t>
  </si>
  <si>
    <t>Nazwa</t>
  </si>
  <si>
    <t>Plan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</si>
  <si>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</si>
  <si>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</si>
  <si>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</si>
  <si>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</si>
  <si>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</si>
  <si>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</si>
  <si>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art.. 5 ust. 1 pkt 2 i 3</t>
  </si>
  <si>
    <t>obsługa długu</t>
  </si>
  <si>
    <t>akcje i udziały</t>
  </si>
  <si>
    <t>wynagrodzenia i składki od nich naliczane</t>
  </si>
  <si>
    <t>wydatki związane z realizacją ich statutowych zadań</t>
  </si>
  <si>
    <t xml:space="preserve">zakup, objęcie akcji i udziałów </t>
  </si>
  <si>
    <t>wniesienie wkładów do spółek prawa handlowego</t>
  </si>
  <si>
    <t>01030</t>
  </si>
  <si>
    <t>Izby rolnicze</t>
  </si>
  <si>
    <t xml:space="preserve">Wytwarzanie i zaopatrywanie w energię elektryczną, gaz i wodę </t>
  </si>
  <si>
    <t>Transport i łączność</t>
  </si>
  <si>
    <t>Drogi publiczne gminne</t>
  </si>
  <si>
    <t>Działalność usługowa</t>
  </si>
  <si>
    <t>Cmentarze</t>
  </si>
  <si>
    <t>w tym z dotacji:</t>
  </si>
  <si>
    <t>Rady gmin</t>
  </si>
  <si>
    <t>Urzędy gmin</t>
  </si>
  <si>
    <t>Promocja jednostek samorządu terytorialnego</t>
  </si>
  <si>
    <t>Ochotnicze straże pożarne</t>
  </si>
  <si>
    <t>Zarządzanie kryzysowe</t>
  </si>
  <si>
    <t>Obsługa długu publicznego</t>
  </si>
  <si>
    <t>Rezerwy ogólne i celowe</t>
  </si>
  <si>
    <t>Szkoły podstawowe</t>
  </si>
  <si>
    <t>Gimnazja</t>
  </si>
  <si>
    <t>Dokształcanie i doskonalenie nauczycieli</t>
  </si>
  <si>
    <t>Zwalczanie narkomanii</t>
  </si>
  <si>
    <t>Dodatki mieszkaniowe</t>
  </si>
  <si>
    <t>Usługi opiekuńcze i specjalistyczne usługi opiekuńcze</t>
  </si>
  <si>
    <t>Gospodarka komunalna i ochrona środowiska</t>
  </si>
  <si>
    <t>Gospodarka ściekowa i ochrona wód</t>
  </si>
  <si>
    <t>Oświetlenie ulic, placów i dróg</t>
  </si>
  <si>
    <t>Kultura i ochrona dziedzictwa narodowego</t>
  </si>
  <si>
    <t>Domy i ośrodki kultury, świetlice i kluby</t>
  </si>
  <si>
    <t>Kultura fizyczna i sport</t>
  </si>
  <si>
    <t>Ogółem wydatki</t>
  </si>
  <si>
    <t xml:space="preserve">Plan na 2010 </t>
  </si>
  <si>
    <t>W tym:</t>
  </si>
  <si>
    <t>Ogółem dochody bieżące</t>
  </si>
  <si>
    <t>Ogółem dochody majątkowe</t>
  </si>
  <si>
    <t>własne</t>
  </si>
  <si>
    <t>z zakresu administracji rządowej i innych zleconych ustawami</t>
  </si>
  <si>
    <t>realizowane w drodze umów lub porozumień z organami administracji rządowej</t>
  </si>
  <si>
    <t>w drodze umów lub porozumień z j.s.t</t>
  </si>
  <si>
    <t>środki na zadania bieżące z udziałem środków unijnych</t>
  </si>
  <si>
    <t>dochody ze sprzedaży majątku</t>
  </si>
  <si>
    <t>przekształcenie prawa użytkowania wieczystego w prawo własności</t>
  </si>
  <si>
    <t>środki na inwestycje z udziałem środków unijnych</t>
  </si>
  <si>
    <t>2</t>
  </si>
  <si>
    <t>Wpływy z różnych opat</t>
  </si>
  <si>
    <t>Ogółem:</t>
  </si>
  <si>
    <t>Limity wydatków na wieloletnie programy inwestycyjne w latach 2010 - 2013</t>
  </si>
  <si>
    <t>Rozdz.</t>
  </si>
  <si>
    <t>Nazwa zadania inwestycyjnego
i okres realizacji
(w latach)</t>
  </si>
  <si>
    <t>Planowane wydatki</t>
  </si>
  <si>
    <t>Łączne koszty finansowe</t>
  </si>
  <si>
    <t>z tego źródła finansowania</t>
  </si>
  <si>
    <t>2011 r.</t>
  </si>
  <si>
    <t>dochody własne jst</t>
  </si>
  <si>
    <t>60016</t>
  </si>
  <si>
    <t>75095</t>
  </si>
  <si>
    <t>Zadania inwestycyjne w 2010 r.</t>
  </si>
  <si>
    <t>Nazwa zadania inwestycyjnego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</si>
  <si>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</si>
  <si>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</si>
  <si>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</si>
  <si>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</si>
  <si>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70005</t>
  </si>
  <si>
    <t>Wykup gruntów</t>
  </si>
  <si>
    <t>11.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</si>
  <si>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</si>
  <si>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</si>
  <si>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</si>
  <si>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</si>
  <si>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</si>
  <si>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Projekt</t>
  </si>
  <si>
    <t>Kategoria interwencji funduszy struktural-nych</t>
  </si>
  <si>
    <t>Wydatki
w okresie realizacji Projektu (całkowita wartość Projektu)
(6+7)</t>
  </si>
  <si>
    <t>Środki
z budżetu krajowego</t>
  </si>
  <si>
    <t>Środki
z budżetu UE</t>
  </si>
  <si>
    <t>2010 r.</t>
  </si>
  <si>
    <t>Wydatki razem (9+13)</t>
  </si>
  <si>
    <t>Środki z budżetu UE</t>
  </si>
  <si>
    <t>Wydatki razem (10+11+12)</t>
  </si>
  <si>
    <t>z tego, źródła finansowania:</t>
  </si>
  <si>
    <t>pożyczki
i kredyty</t>
  </si>
  <si>
    <t>pozostałe</t>
  </si>
  <si>
    <t>Wydatki majątkowe razem:</t>
  </si>
  <si>
    <t>Razem wydatki:</t>
  </si>
  <si>
    <t>podmiotowej</t>
  </si>
  <si>
    <t>przedmiotowej</t>
  </si>
  <si>
    <t>celowej</t>
  </si>
  <si>
    <t>Wydatki budżetu na 2010 rok</t>
  </si>
  <si>
    <t>Dochody budżetu na 2010 rok</t>
  </si>
  <si>
    <t>Nazwa instytucji</t>
  </si>
  <si>
    <t>Plan
na 2010</t>
  </si>
  <si>
    <t>40002</t>
  </si>
  <si>
    <t>60004</t>
  </si>
  <si>
    <t xml:space="preserve"> </t>
  </si>
  <si>
    <t>Transport i Łączność</t>
  </si>
  <si>
    <t>6208</t>
  </si>
  <si>
    <t>Dotacje rozwojowe</t>
  </si>
  <si>
    <t>Grzywny, mandaty i inne kary pienięzne od osób fizycznych</t>
  </si>
  <si>
    <t>wpływy z usług</t>
  </si>
  <si>
    <t>pozostałe odsetki</t>
  </si>
  <si>
    <t>0570</t>
  </si>
  <si>
    <t>70001</t>
  </si>
  <si>
    <t>Zakłady gospodarki mieszkaniowej</t>
  </si>
  <si>
    <t>wpływy z opłat za zarząd, użytkowanie i użytkowanie wieczyste nieruchomości</t>
  </si>
  <si>
    <t>wpływy z innych lokalnych opłat pobieranych przez j.s.t. na podstawie odrębnych ustaw</t>
  </si>
  <si>
    <t>dochody z najmu i dzierżawy składników majątkowych Skarbu Państwa, j.s.t.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</si>
  <si>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</si>
  <si>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</si>
  <si>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</si>
  <si>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odsetki od nieterminowych wpłat z tytułu podatków i opłat</t>
  </si>
  <si>
    <t>wpływy z różnych dochodów</t>
  </si>
  <si>
    <t>Urzędy Wojewódzkie</t>
  </si>
  <si>
    <t>75011</t>
  </si>
  <si>
    <t>75601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</si>
  <si>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</si>
  <si>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</si>
  <si>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75615</t>
  </si>
  <si>
    <t>podatek od działalności gospodarczej osób fizycznych, opłacany w formie karty podatkowej</t>
  </si>
  <si>
    <t>Dotacja rozwojowa</t>
  </si>
  <si>
    <t>Urzędy naczelnych organów władzy, kontroli i ochrony prawa</t>
  </si>
  <si>
    <t>75101</t>
  </si>
  <si>
    <t>75414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</si>
  <si>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</si>
  <si>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</si>
  <si>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</si>
  <si>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</si>
  <si>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75618</t>
  </si>
  <si>
    <t>75621</t>
  </si>
  <si>
    <t>75801</t>
  </si>
  <si>
    <t>75814</t>
  </si>
  <si>
    <t>Część oświatowa subwencji ogólnej dla jednostek samorządu terytorialnego</t>
  </si>
  <si>
    <t>Część równoważąca subwencji ogólnej dla gmin</t>
  </si>
  <si>
    <t>75831</t>
  </si>
  <si>
    <t>80101</t>
  </si>
  <si>
    <t>80104</t>
  </si>
  <si>
    <t>Przedszkola</t>
  </si>
  <si>
    <t>80148</t>
  </si>
  <si>
    <t>85203</t>
  </si>
  <si>
    <t>85212</t>
  </si>
  <si>
    <t>0980</t>
  </si>
  <si>
    <t>Składki na ubezpieczenie zdrowotne opłacane za osoby pobierające niektóre świadczenia z pomocy społecznej, niektóre świadczenia rodzinne oraz za osoby uczestniczące w zajęciach w centrum integracji społecznej</t>
  </si>
  <si>
    <t>85214</t>
  </si>
  <si>
    <t>85216</t>
  </si>
  <si>
    <t>85219</t>
  </si>
  <si>
    <t>85228</t>
  </si>
  <si>
    <t>92604</t>
  </si>
  <si>
    <t>85305</t>
  </si>
  <si>
    <t>POZOSTAŁE ZADANIA W ZAKRESIE POLITYKI SPOŁECZNEJ</t>
  </si>
  <si>
    <t>Żłobki</t>
  </si>
  <si>
    <t>KULTURA FIZYCZNA I SPORT</t>
  </si>
  <si>
    <t>Instytucje kultury fizycznej</t>
  </si>
  <si>
    <t>85154</t>
  </si>
  <si>
    <t>Zasiłki i pomoc w naturze oraz składki na ubezpieczenia emerytalne i rentowe</t>
  </si>
  <si>
    <t>dotacje celowe otrzymane z budżetu państwa na realizację własnych zadań bieżących gmin (związków gmin)</t>
  </si>
  <si>
    <t>wpływy z opłaty targowej</t>
  </si>
  <si>
    <t>2680</t>
  </si>
  <si>
    <t>rekompensaty utraconych dochodów w podatkach i opłatach lokalnych</t>
  </si>
  <si>
    <t>podatek od środków transportowych</t>
  </si>
  <si>
    <t>Klasyfikacja (dział, rozdział,
paragraf)</t>
  </si>
  <si>
    <t>Wydatki razem (14+15+16)</t>
  </si>
  <si>
    <t>Priorytet: II</t>
  </si>
  <si>
    <t>Działanie: II.1 Gospodarka wodno-ściekowa</t>
  </si>
  <si>
    <t>400 40002  6050</t>
  </si>
  <si>
    <t>z tego: 2009 r.</t>
  </si>
  <si>
    <t>2010r.</t>
  </si>
  <si>
    <t>2011r.</t>
  </si>
  <si>
    <t>2012r.</t>
  </si>
  <si>
    <t>Priorytet: VI Odnowa obszarów miejskich</t>
  </si>
  <si>
    <t xml:space="preserve">Działanie: VI.1 Rewitalizacja obszarów   problemowych                         </t>
  </si>
  <si>
    <t>600  60016  6050</t>
  </si>
  <si>
    <t>1.3</t>
  </si>
  <si>
    <t>Priorytet: IV</t>
  </si>
  <si>
    <t>Działanie: IV.2                             E-usługi publiczne</t>
  </si>
  <si>
    <t>750  75095  6060</t>
  </si>
  <si>
    <t>2010 r</t>
  </si>
  <si>
    <t>Wydatki bieżące razem:</t>
  </si>
  <si>
    <t>2.2</t>
  </si>
  <si>
    <t>...............</t>
  </si>
  <si>
    <t>Ogółem (1+2)</t>
  </si>
  <si>
    <r>
      <t>Program:</t>
    </r>
    <r>
      <rPr>
        <sz val="7"/>
        <rFont val="Arial"/>
        <family val="2"/>
      </rPr>
      <t xml:space="preserve"> Regionalny Program Operacyjny Województwa Łódzkiego 2007-2013</t>
    </r>
  </si>
  <si>
    <r>
      <t xml:space="preserve">Nazwa projektu: </t>
    </r>
    <r>
      <rPr>
        <b/>
        <sz val="8"/>
        <rFont val="Arial"/>
        <family val="2"/>
      </rPr>
      <t>Przebudowa  istniejących komunalnych ujęć wody, rozbudowa i przebudowa obiektów stacji uzdatniania wody i budowa akredytowanego laboratorium w Łowiczu przy ul.Blich</t>
    </r>
  </si>
  <si>
    <r>
      <t>Nazwa projektu:</t>
    </r>
    <r>
      <rPr>
        <b/>
        <sz val="8"/>
        <rFont val="Arial"/>
        <family val="2"/>
      </rPr>
      <t xml:space="preserve">     "Renowacja zespołu dawnej Kolegiaty Prymasowskiej w Łowiczu- najcenniejszego skarbu Ziemi Łowickiej wraz z utworzeniem kompleksu rekreacyjno - wypoczynkowego w parku Błonie"                 </t>
    </r>
  </si>
  <si>
    <r>
      <t>Nazwa projektu:</t>
    </r>
    <r>
      <rPr>
        <b/>
        <sz val="8"/>
        <rFont val="Arial"/>
        <family val="2"/>
      </rPr>
      <t xml:space="preserve">                         e-urząd w Łowiczu</t>
    </r>
  </si>
  <si>
    <t>rok budżetowy 2010 (8+9+10+11)</t>
  </si>
  <si>
    <t>2012r</t>
  </si>
  <si>
    <t>2013r</t>
  </si>
  <si>
    <t>2014r</t>
  </si>
  <si>
    <t>środki pochodzące
 z innych  źródeł*</t>
  </si>
  <si>
    <t>Przebudowa istniejących komunalnych ujęć wody, rozbudowa i przebudowa obiektów stacji uzdatniania wody i budowa akredytowanego laboratorium w Łowiczu przy ul.Blich (2007-2012)</t>
  </si>
  <si>
    <t>A.      
B.
C.
…</t>
  </si>
  <si>
    <t>Renowacja zespołu dawnej Kolegiaty Prymasowskiej w Łowiczu- najcenniejszego skarbu Ziemi Łowickiej wraz z utworzeniem kompleksu rekreacyjno-wypoczynkowego w parku Błonie (2007-2011)</t>
  </si>
  <si>
    <t>§**</t>
  </si>
  <si>
    <t xml:space="preserve">Przebudowa stacji uzdatniania wody wraz z budową studni głębinowej oraz budową laboratorium </t>
  </si>
  <si>
    <t>Unowocześnienie taboru transportowego</t>
  </si>
  <si>
    <t>Parking w ul.Baczyńskiego</t>
  </si>
  <si>
    <t>Drogi gminne- dokumentacje</t>
  </si>
  <si>
    <t>Przebudowa ul. Warchałowskiego</t>
  </si>
  <si>
    <t>9.</t>
  </si>
  <si>
    <t>Przebudowa mostu- ul.Mostowa- dokumentacja</t>
  </si>
  <si>
    <t>10.</t>
  </si>
  <si>
    <t>Renowacja zespołu dawnej Kolegiaty Prymasowskiej w Łowiczu- najcenniejszego skarbu Ziemi Łowickiej wraz z utworzeniem kompleksu rekreacyjno-wypoczynkowego w parku Błonie</t>
  </si>
  <si>
    <t>12.</t>
  </si>
  <si>
    <t>13.</t>
  </si>
  <si>
    <t>14.</t>
  </si>
  <si>
    <t>Przebudowa drogi w ul.Żwirowej</t>
  </si>
  <si>
    <t>15.</t>
  </si>
  <si>
    <t>Budowa komórek gospodarczych</t>
  </si>
  <si>
    <t>16.</t>
  </si>
  <si>
    <t>17.</t>
  </si>
  <si>
    <t>Budowa bloku komunalnego</t>
  </si>
  <si>
    <t>18.</t>
  </si>
  <si>
    <t xml:space="preserve">Budowa przyłącza gazowego </t>
  </si>
  <si>
    <t>19.</t>
  </si>
  <si>
    <t>20.</t>
  </si>
  <si>
    <t>e-urząd  w Łowiczu</t>
  </si>
  <si>
    <t>21.</t>
  </si>
  <si>
    <t>Zakupy inwestycyjne- motopompa i wentylator</t>
  </si>
  <si>
    <t>22.</t>
  </si>
  <si>
    <t>Monitoring wizyjny miasta</t>
  </si>
  <si>
    <t>23.</t>
  </si>
  <si>
    <t>Rezerwa na inwestycje i zakupy inwestycyjne</t>
  </si>
  <si>
    <t>24.</t>
  </si>
  <si>
    <t>25.</t>
  </si>
  <si>
    <t>26.</t>
  </si>
  <si>
    <t>Separatory</t>
  </si>
  <si>
    <t>27.</t>
  </si>
  <si>
    <t>Dokumentacje</t>
  </si>
  <si>
    <t>28.</t>
  </si>
  <si>
    <t>Kanalizacja sanitarna ul.Łęczycka</t>
  </si>
  <si>
    <t>29.</t>
  </si>
  <si>
    <t>Kanalizacja sanitarna os.Kostka</t>
  </si>
  <si>
    <t>30.</t>
  </si>
  <si>
    <t>Kanalizacja sanitarna ul.Radziecka</t>
  </si>
  <si>
    <t>31.</t>
  </si>
  <si>
    <t>Oświetlenie ulic</t>
  </si>
  <si>
    <t>Kwota 2010 r</t>
  </si>
  <si>
    <t>Spłaty kredytów i pożyczek</t>
  </si>
  <si>
    <t xml:space="preserve">                                                                                              </t>
  </si>
  <si>
    <t xml:space="preserve">                                                                                                           </t>
  </si>
  <si>
    <t>w tym</t>
  </si>
  <si>
    <t>Łowicki Ośrodek Kultury w Łowiczu</t>
  </si>
  <si>
    <t>Miejska Biblioteka w Łowiczu</t>
  </si>
  <si>
    <t>II. Jednostki nie należące do sektora finansów publicznych</t>
  </si>
  <si>
    <t>Pijarskie Gimnazjum Królowej Pokoju w Łowiczu</t>
  </si>
  <si>
    <t>Ogółem I+II</t>
  </si>
  <si>
    <t>Filharmonie, orkiestry, chóry i kapele</t>
  </si>
  <si>
    <t>Krzewienie kultury ludowej</t>
  </si>
  <si>
    <t>HANDEL</t>
  </si>
  <si>
    <t>Drogi publiczne powiatowe</t>
  </si>
  <si>
    <t>Lokalny transport zbiorowy</t>
  </si>
  <si>
    <t xml:space="preserve">Zakłady gospodarki mieszkaniowej </t>
  </si>
  <si>
    <t>Opracowania geodezyjne i kartograficzne</t>
  </si>
  <si>
    <t>Komendy wojewódzkie Policji</t>
  </si>
  <si>
    <t>Komendy powiatowe Państwowej Straży Pożarnej</t>
  </si>
  <si>
    <t>Ośrodki wsparcia</t>
  </si>
  <si>
    <t>Przeciwdziałanie przemocy w rodzinie</t>
  </si>
  <si>
    <t>Edukacyjna opieka społeczna</t>
  </si>
  <si>
    <t>Gospodarka odpadami</t>
  </si>
  <si>
    <t>Oczyszczanie miast i wsi</t>
  </si>
  <si>
    <t>Utrzymanie zieleni w miastach i gminach</t>
  </si>
  <si>
    <t>Zakłady gospodarki komunalnej</t>
  </si>
  <si>
    <t>Biblioteki</t>
  </si>
  <si>
    <t>Instytucje kultury fizycznej -OSiR</t>
  </si>
  <si>
    <t>Zadania w zakresie kultury fizycznej</t>
  </si>
  <si>
    <t>z tego</t>
  </si>
  <si>
    <t>inwestycje i zakupy inwestycyjne</t>
  </si>
  <si>
    <t>Wydatki związane z realizacją zadań z zakresu administracji rządowej i innych zleconych gminie odrębnymi ustawami w 2010 r.</t>
  </si>
  <si>
    <t>Wydatki
ogółem</t>
  </si>
  <si>
    <t>Stan środków obrotowych na początek roku</t>
  </si>
  <si>
    <t>Przychody</t>
  </si>
  <si>
    <t>Wydatki</t>
  </si>
  <si>
    <t>Stan środków obrotowych na koniec roku</t>
  </si>
  <si>
    <t>Rozliczenia
z budżetem
z tytułu wpłat nadwyżek środków za 2009 r.</t>
  </si>
  <si>
    <t>ogółem</t>
  </si>
  <si>
    <t>w tym: wpłata do budżetu</t>
  </si>
  <si>
    <t>dotacje
z budżetu</t>
  </si>
  <si>
    <t>§ 265</t>
  </si>
  <si>
    <t>na inwestycje</t>
  </si>
  <si>
    <t>I.</t>
  </si>
  <si>
    <t>Zakłady budżetowe</t>
  </si>
  <si>
    <t>1.Zakład Usług Komunalnych</t>
  </si>
  <si>
    <t>Plan przychodów i wydatków Gminnego Funduszu</t>
  </si>
  <si>
    <t>Ochrony Środowiska i Gospodarki Wodnej w 2010 r</t>
  </si>
  <si>
    <t xml:space="preserve">Dział </t>
  </si>
  <si>
    <t>Plan na 2010 r.</t>
  </si>
  <si>
    <t>A.</t>
  </si>
  <si>
    <t>Fundusz Ochrony Środowiska i Gospodarki Wodnej</t>
  </si>
  <si>
    <t>II.</t>
  </si>
  <si>
    <t>Przelewy redystrybucyjne z tyt.opłat za korzystanie ze środowiska</t>
  </si>
  <si>
    <t>III.</t>
  </si>
  <si>
    <t>Zakup materiałów i wyposażenia</t>
  </si>
  <si>
    <t>Zakup usług pozostałych</t>
  </si>
  <si>
    <t>Różne opłaty i składki</t>
  </si>
  <si>
    <t>Podatek od towarów i usług</t>
  </si>
  <si>
    <t>Wydatki inwestycyjne funduszy celowych</t>
  </si>
  <si>
    <t>IV.</t>
  </si>
  <si>
    <t>3.000</t>
  </si>
  <si>
    <t>z tego:                                                                                  Uniwersytet III -Wieku</t>
  </si>
  <si>
    <t>Dofinansowanie gotowości bojowej</t>
  </si>
  <si>
    <t xml:space="preserve">z tego:                                                                                                </t>
  </si>
  <si>
    <t>Zadania w zakresie oświaty i wychowania</t>
  </si>
  <si>
    <t>Pijarska Szkoła Podstawowa Królowej Pokoju w Łowiczu</t>
  </si>
  <si>
    <t xml:space="preserve">Dotacje udzielone w 2010 roku z budżetu podmiotom należącym i nienależącym do sektora finansów publicznych </t>
  </si>
  <si>
    <t>Dochody związane z realizacją zadań z zakresu administracji rządowej                                                         i innych zadań zleconych odrębnymi ustawami                                                                  w 2010 roku</t>
  </si>
  <si>
    <t>Plan przychodów i kosztów zakładu budżetowego na 2010 rok</t>
  </si>
  <si>
    <t>Dotacje celowe otrzymane z budżetu państwa na realizację zadań bieżących z zakresu administracji rządowej oraz innych zadań zleconych gminie (związkom gmin) ustawami</t>
  </si>
  <si>
    <t>Wpływy z tytułu zwrotów wypłaconych świadczeń z funduszu alimentacyjnego</t>
  </si>
  <si>
    <t>wypłaty z tytułu poręczeń i gwarancji</t>
  </si>
  <si>
    <t xml:space="preserve">dotacje na  inwestycje i zakupy inwestycyjne </t>
  </si>
  <si>
    <t>Urzędy naczelnych organów władzy państwowej, kontroli i ochrony prawa</t>
  </si>
  <si>
    <t>Pobór podatków, opłat i niepodatkowych należności budżetowych</t>
  </si>
  <si>
    <t>Obsługa papierów wartościowych, kredytów i pożyczek jst</t>
  </si>
  <si>
    <t>Oddziały przedszkolne w szkołach podstawowych</t>
  </si>
  <si>
    <t>Pozostałe zadania w zakresie polityki społecznej</t>
  </si>
  <si>
    <t>Świetlice szkolne</t>
  </si>
  <si>
    <t>rok 2010 (8+9+10+11)</t>
  </si>
  <si>
    <t>Wydatki na wieloletnie projekty i programy realizowane ze środków pochodzących z budzetu Unii Europejskiej oraz niepodlegające zwrotowi środki z pomocy udzielonej przez państwa członkowskie Europejskiego Porozumienia o Wolnym Handlu (EFTA) oraz innych środków niepodlegających zwrotowi pochodzących z zagranicy na 2010 rok</t>
  </si>
  <si>
    <t>Środki z budżetu krajowego</t>
  </si>
  <si>
    <t>32.</t>
  </si>
  <si>
    <t>33.</t>
  </si>
  <si>
    <t xml:space="preserve">Aktywizacja naukowa ludzi starszych </t>
  </si>
  <si>
    <t>I. Jednostki sektora finansów publicznych</t>
  </si>
  <si>
    <t>80195</t>
  </si>
  <si>
    <t>Przebudowa ul.Podgórnej i Sadowej</t>
  </si>
  <si>
    <t xml:space="preserve">Informatyczna sieć rozległa  </t>
  </si>
  <si>
    <t>Plac zabaw Starzyńskiego, Łyszkowicka, dosprzętowienie istniejących placów zabaw</t>
  </si>
  <si>
    <t>Budowa kanalizacji deszczowej w ul.Sochaczewskiej</t>
  </si>
  <si>
    <t>WYSZCZEGÓLNIENIE</t>
  </si>
  <si>
    <t>2008r</t>
  </si>
  <si>
    <t>2009r</t>
  </si>
  <si>
    <t>2011 r</t>
  </si>
  <si>
    <t>2013 r</t>
  </si>
  <si>
    <t xml:space="preserve">2015 r </t>
  </si>
  <si>
    <t xml:space="preserve">I. Dochody  </t>
  </si>
  <si>
    <t>Bieżące</t>
  </si>
  <si>
    <t>Majątkowe, w tym:</t>
  </si>
  <si>
    <t>ze sprzedaży majątku</t>
  </si>
  <si>
    <t xml:space="preserve">II. Wydatki  </t>
  </si>
  <si>
    <t>Bieżące, w tym:</t>
  </si>
  <si>
    <t>poręczenia i gwarancje</t>
  </si>
  <si>
    <t>2.1.3.1</t>
  </si>
  <si>
    <t>w tym*</t>
  </si>
  <si>
    <t>Majątkowe</t>
  </si>
  <si>
    <t>III.Dochody Bieżące- Wydatki Bieżące (1.1-2.1)</t>
  </si>
  <si>
    <t>IV Wynik Budżetu I-II; (nadwyżka/deficyt)</t>
  </si>
  <si>
    <t>V.Przychody</t>
  </si>
  <si>
    <t>5.1</t>
  </si>
  <si>
    <t xml:space="preserve"> Pożyczki i kredyty, papiery wartościowe ( obligacje) razem </t>
  </si>
  <si>
    <t>5.1.1</t>
  </si>
  <si>
    <t>5.2</t>
  </si>
  <si>
    <t>Wolne środki</t>
  </si>
  <si>
    <t>5.3</t>
  </si>
  <si>
    <t>nadwyżka budżetu z lat ubiegłych</t>
  </si>
  <si>
    <t>5.4</t>
  </si>
  <si>
    <t>inne (np.prywatyzacja)</t>
  </si>
  <si>
    <t xml:space="preserve">VI.Rozchody </t>
  </si>
  <si>
    <t>6.1</t>
  </si>
  <si>
    <t>Spłata pożyczek i kredytów, wykup papierów wartościowych</t>
  </si>
  <si>
    <t>6.1.1.</t>
  </si>
  <si>
    <t>VII. Suma Bilansująca (I+V)=(II+VI)</t>
  </si>
  <si>
    <t>VIII. Saldo (5.1)-(6.1)</t>
  </si>
  <si>
    <t>8.1</t>
  </si>
  <si>
    <t>IX. Zobowiązania wymagalne</t>
  </si>
  <si>
    <t>10.1</t>
  </si>
  <si>
    <t>w tym przypadające do spłaty w danym roku pożyczki i kredyty, wykup papierów wart.</t>
  </si>
  <si>
    <t xml:space="preserve">XI. Stan Zobowiązań  </t>
  </si>
  <si>
    <t>11.1</t>
  </si>
  <si>
    <t>na początek roku</t>
  </si>
  <si>
    <t>11.1.1</t>
  </si>
  <si>
    <t>11.2</t>
  </si>
  <si>
    <t>na koniec roku (11.1+/-VIII+ zobowiązania wymagalne+ zobowiązania związków) minus umorzenie 84.100,00</t>
  </si>
  <si>
    <t xml:space="preserve">11.2.1 </t>
  </si>
  <si>
    <t>XII. Wskaźniki</t>
  </si>
  <si>
    <t>art.169 ustawy z dnia 30 czerwca 2005 r</t>
  </si>
  <si>
    <t>z uwzględnieniem*       2008-2013</t>
  </si>
  <si>
    <t>art.170 ustawy z dnia 30 czerwca 2005r</t>
  </si>
  <si>
    <t xml:space="preserve">z uwzględnieniem*    </t>
  </si>
  <si>
    <t>Art.243 ustawy z dnia 27 sierpnia 2009r</t>
  </si>
  <si>
    <t xml:space="preserve">Art.243 ustawy z dnia 27 sierpnia 2009 r </t>
  </si>
  <si>
    <t>Miejscowość i data sporządzenia</t>
  </si>
  <si>
    <r>
      <t>X Zobowiązania Związków -</t>
    </r>
    <r>
      <rPr>
        <sz val="10"/>
        <rFont val="Arial CE"/>
        <family val="0"/>
      </rPr>
      <t xml:space="preserve"> przypadające do spłaty w danym roku pożyczki, kredyty oraz wykup papierów wartościowych </t>
    </r>
    <r>
      <rPr>
        <vertAlign val="superscript"/>
        <sz val="10"/>
        <rFont val="Arial CE"/>
        <family val="0"/>
      </rPr>
      <t>1)</t>
    </r>
  </si>
  <si>
    <r>
      <t>z uwzględnieniem*    od 2011</t>
    </r>
    <r>
      <rPr>
        <vertAlign val="superscript"/>
        <sz val="10"/>
        <rFont val="Arial CE"/>
        <family val="0"/>
      </rPr>
      <t>2)</t>
    </r>
  </si>
  <si>
    <r>
      <t>z uwzględnieniem*  od 2014</t>
    </r>
    <r>
      <rPr>
        <vertAlign val="superscript"/>
        <sz val="10"/>
        <rFont val="Arial CE"/>
        <family val="0"/>
      </rPr>
      <t>3)</t>
    </r>
  </si>
  <si>
    <r>
      <t>*</t>
    </r>
    <r>
      <rPr>
        <sz val="7"/>
        <color indexed="8"/>
        <rFont val="Times New Roman"/>
        <family val="1"/>
      </rPr>
      <t xml:space="preserve">   </t>
    </r>
    <r>
      <rPr>
        <sz val="8.5"/>
        <color indexed="8"/>
        <rFont val="Arial"/>
        <family val="2"/>
      </rPr>
      <t>art. 169 ust. 3 oraz art. 170 ust. 3 ustawy z dnia 30 czerwca 2005 r. o finansach publicznych w latach 2008 - 2013</t>
    </r>
  </si>
  <si>
    <r>
      <t>*</t>
    </r>
    <r>
      <rPr>
        <sz val="7"/>
        <color indexed="8"/>
        <rFont val="Times New Roman"/>
        <family val="1"/>
      </rPr>
      <t xml:space="preserve">   </t>
    </r>
    <r>
      <rPr>
        <sz val="8.5"/>
        <color indexed="8"/>
        <rFont val="Arial"/>
        <family val="2"/>
      </rPr>
      <t>art. 243 ust. 3 ustawy z dnia  27 sierpnia 2009 r. o finansach publicznych  od roku 2014 (informacyjnie w latach 2011-2013)</t>
    </r>
  </si>
  <si>
    <r>
      <t>(1)</t>
    </r>
    <r>
      <rPr>
        <sz val="7"/>
        <color indexed="8"/>
        <rFont val="Times New Roman"/>
        <family val="1"/>
      </rPr>
      <t xml:space="preserve">   </t>
    </r>
    <r>
      <rPr>
        <sz val="8.5"/>
        <color indexed="8"/>
        <rFont val="Arial"/>
        <family val="2"/>
      </rPr>
      <t>art. 244 ustawy z dnia 27 sierpnia 2009 r. o finansach publicznych od 2014 (informacyjnie w 2011-2014)</t>
    </r>
  </si>
  <si>
    <r>
      <t>(2)</t>
    </r>
    <r>
      <rPr>
        <sz val="7"/>
        <color indexed="8"/>
        <rFont val="Times New Roman"/>
        <family val="1"/>
      </rPr>
      <t xml:space="preserve">   </t>
    </r>
    <r>
      <rPr>
        <sz val="8.5"/>
        <color indexed="8"/>
        <rFont val="Arial"/>
        <family val="2"/>
      </rPr>
      <t>średnia arytmetyczna z wzoru z art. 243</t>
    </r>
  </si>
  <si>
    <r>
      <t>(3)</t>
    </r>
    <r>
      <rPr>
        <sz val="7"/>
        <color indexed="8"/>
        <rFont val="Times New Roman"/>
        <family val="1"/>
      </rPr>
      <t xml:space="preserve">   </t>
    </r>
    <r>
      <rPr>
        <sz val="8.5"/>
        <color indexed="8"/>
        <rFont val="Arial"/>
        <family val="2"/>
      </rPr>
      <t>wskaźnik (R+O)/D</t>
    </r>
  </si>
  <si>
    <t>75616</t>
  </si>
  <si>
    <t>Wpływy z podatku rolnego, podatku leśnego, podatku od spadków i darowizn, podatku od czynności cywilnoprawnych oraz podatków i opłat lokalnych od osób fizycznych</t>
  </si>
  <si>
    <t xml:space="preserve">Przebudowa nawierzchni ul. 3 Maja i ul. Tkaczew, ul.Bielawskiej, ul.Sybiraków wraz z chodnikami i infrastrukturą towarzysząca             </t>
  </si>
  <si>
    <r>
      <t>Program:</t>
    </r>
    <r>
      <rPr>
        <sz val="7"/>
        <rFont val="Arial"/>
        <family val="2"/>
      </rPr>
      <t xml:space="preserve"> Program OperacyjnyKapitał Ludzki</t>
    </r>
  </si>
  <si>
    <t>Priorytet:IX</t>
  </si>
  <si>
    <t>Działanie: 9.1</t>
  </si>
  <si>
    <r>
      <t xml:space="preserve">Nazwa projektu:    </t>
    </r>
    <r>
      <rPr>
        <sz val="7"/>
        <rFont val="Arial"/>
        <family val="2"/>
      </rPr>
      <t xml:space="preserve">                  </t>
    </r>
    <r>
      <rPr>
        <b/>
        <sz val="7"/>
        <rFont val="Arial"/>
        <family val="2"/>
      </rPr>
      <t>Przedszkole na dobry start - upowszechnianie edukacji przedszkolnej</t>
    </r>
  </si>
  <si>
    <t>Priorytet: I</t>
  </si>
  <si>
    <t xml:space="preserve">Działanie: I.1  Drogi                           </t>
  </si>
  <si>
    <r>
      <t>Nazwa projektu:</t>
    </r>
    <r>
      <rPr>
        <b/>
        <sz val="8"/>
        <rFont val="Arial"/>
        <family val="2"/>
      </rPr>
      <t xml:space="preserve">   Przebudowa nawierzchni ul. 3 Maja i ul. Tkaczew, ul.Bielawskiej,, ul.Sybiraków wraz z chodnikami i infrastrukturą towarzysząca             </t>
    </r>
  </si>
  <si>
    <t>801 80195</t>
  </si>
  <si>
    <t>2008</t>
  </si>
  <si>
    <t xml:space="preserve">Dotacje rozwojowe  oraz środki na finansowanie Wspólnej Polityki Rolnej  </t>
  </si>
  <si>
    <t xml:space="preserve">Termomodernizacja  przedszkoli miejskich I Zespołu Szkół z Oddziałami Integracyjnymi </t>
  </si>
  <si>
    <t>Przebudowa chodnika w ul.Radzieckiej</t>
  </si>
  <si>
    <t>Budowa boiska SP nr 1</t>
  </si>
  <si>
    <t xml:space="preserve">z tego:  </t>
  </si>
  <si>
    <t>1.4</t>
  </si>
  <si>
    <t>6260</t>
  </si>
  <si>
    <t>Dotacje otrzymane z funduszy celowych na finansowanie lub dofinansowanie  kosztów realizacji inwestycji i zakupów inwestycyjnych jednostek sektora finansów publicznych</t>
  </si>
  <si>
    <t>z innych źródeł</t>
  </si>
  <si>
    <r>
      <t>Rozdział</t>
    </r>
    <r>
      <rPr>
        <b/>
        <u val="single"/>
        <sz val="7"/>
        <rFont val="Arial CE"/>
        <family val="0"/>
      </rPr>
      <t xml:space="preserve">   </t>
    </r>
    <r>
      <rPr>
        <sz val="7"/>
        <rFont val="Arial CE"/>
        <family val="0"/>
      </rPr>
      <t xml:space="preserve">                              Paragraf</t>
    </r>
  </si>
  <si>
    <t>Drogi wewnętrzne</t>
  </si>
  <si>
    <t>Dochody jednostek samorządu terytorialnego związane z realizacją zadań z zakresu administracji rządowej oraz innych zadań zleconych ustawami</t>
  </si>
  <si>
    <t>Dochody od osób prawnych, od osób fizycznych i od innych jednostek nieposiadających osobowości prawnej oraz wydatki związane z ich poborem</t>
  </si>
  <si>
    <t>Budowa dróg wewnętrznych i zatok parkingowych na osiedlu przy ul. Armii Krajowej</t>
  </si>
  <si>
    <t>Urząd Miejski</t>
  </si>
  <si>
    <t>Budowa drogi w ul.Piekarskiej wraz z infrastrukturą</t>
  </si>
  <si>
    <t>Przebudowa drogi ul.Wspólnej wraz z kanalizacją deszczową</t>
  </si>
  <si>
    <t>Niepubliczna jednostka systemu oświaty - Punkt przedszkolny w Łowiczu</t>
  </si>
  <si>
    <t>Starostwo Powiatowe w Łowiczu                      - przebudowa drogi powiatowej ul.Chełmońskiego</t>
  </si>
  <si>
    <t>Komendy Powiatowe Państwowej Straży Pożarnej w Łowiczu                                                    -utrzymanie gotowości bojowej</t>
  </si>
  <si>
    <t xml:space="preserve">Zakład Usług Komunalnych w Łowiczu  </t>
  </si>
  <si>
    <t>-utrzymanie dróg</t>
  </si>
  <si>
    <t>-dopłata do ceny wody i ścieków</t>
  </si>
  <si>
    <t>-utrzymanie schroniska dla psów</t>
  </si>
  <si>
    <t>z tego:                                                                                               Ochotnicze Straże Pożarne w Łowiczu                  -utrzymanie gotowości bojowej</t>
  </si>
  <si>
    <t>Ochotnicze Straże Pożarne - Ratownictwo wodne w Łowiczu                                                   - utrzymanie gotowości bojowej</t>
  </si>
  <si>
    <t>Komenda Wojewódzka Policji w Łowiczu                                                                 -dodatkowe patrole na terenie Miasta Łowicza</t>
  </si>
  <si>
    <t xml:space="preserve"> na programy finansowane z udziałem środków UE</t>
  </si>
  <si>
    <t xml:space="preserve">w tym  </t>
  </si>
  <si>
    <t>Zakład Gospodarki Mieszkaniowej</t>
  </si>
  <si>
    <t>Filharmonie, orkiestry, chóry i kapele                -wspieranie zespołów podtrzymujących tradycje regionu łowickiego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</si>
</sst>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#,##0.0"/>
    <numFmt numFmtId="173" formatCode="0.000"/>
    <numFmt numFmtId="174" formatCode="_-* #,##0.0000\ _z_ł_-;\-* #,##0.0000\ _z_ł_-;_-* &quot;-&quot;??\ _z_ł_-;_-@_-"/>
    <numFmt numFmtId="175" formatCode="#,##0.000"/>
  </numFmts>
  <fonts count="6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i/>
      <sz val="10"/>
      <name val="Arial CE"/>
      <family val="2"/>
    </font>
    <font>
      <sz val="7"/>
      <name val="Arial CE"/>
      <family val="0"/>
    </font>
    <font>
      <b/>
      <sz val="8"/>
      <name val="Arial CE"/>
      <family val="2"/>
    </font>
    <font>
      <i/>
      <sz val="8"/>
      <name val="Arial CE"/>
      <family val="0"/>
    </font>
    <font>
      <sz val="11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12"/>
      <name val="Arial CE"/>
      <family val="2"/>
    </font>
    <font>
      <b/>
      <i/>
      <sz val="8"/>
      <name val="Arial"/>
      <family val="2"/>
    </font>
    <font>
      <b/>
      <i/>
      <sz val="8"/>
      <name val="Arial CE"/>
      <family val="0"/>
    </font>
    <font>
      <i/>
      <sz val="8"/>
      <name val="Arial"/>
      <family val="2"/>
    </font>
    <font>
      <b/>
      <sz val="9"/>
      <name val="Arial"/>
      <family val="2"/>
    </font>
    <font>
      <sz val="10"/>
      <color indexed="10"/>
      <name val="Arial CE"/>
      <family val="0"/>
    </font>
    <font>
      <b/>
      <sz val="7"/>
      <name val="Arial CE"/>
      <family val="2"/>
    </font>
    <font>
      <i/>
      <sz val="7"/>
      <name val="Arial CE"/>
      <family val="0"/>
    </font>
    <font>
      <i/>
      <sz val="6"/>
      <name val="Arial CE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7"/>
      <color indexed="8"/>
      <name val="Times New Roman"/>
      <family val="1"/>
    </font>
    <font>
      <sz val="8.5"/>
      <color indexed="8"/>
      <name val="Arial"/>
      <family val="2"/>
    </font>
    <font>
      <sz val="8"/>
      <name val="Times New Roman"/>
      <family val="1"/>
    </font>
    <font>
      <b/>
      <u val="single"/>
      <sz val="7"/>
      <name val="Arial CE"/>
      <family val="0"/>
    </font>
    <font>
      <b/>
      <sz val="7"/>
      <name val="Times New Roman"/>
      <family val="1"/>
    </font>
    <font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27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6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170" fontId="0" fillId="0" borderId="0" xfId="42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5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6" fillId="0" borderId="0" xfId="0" applyFont="1" applyBorder="1" applyAlignment="1">
      <alignment/>
    </xf>
    <xf numFmtId="1" fontId="3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49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49" fontId="3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49" fontId="36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9" fillId="0" borderId="0" xfId="56" applyFont="1">
      <alignment/>
      <protection/>
    </xf>
    <xf numFmtId="0" fontId="42" fillId="0" borderId="0" xfId="56" applyFont="1">
      <alignment/>
      <protection/>
    </xf>
    <xf numFmtId="0" fontId="39" fillId="0" borderId="12" xfId="56" applyFont="1" applyBorder="1" applyAlignment="1">
      <alignment wrapText="1"/>
      <protection/>
    </xf>
    <xf numFmtId="0" fontId="39" fillId="0" borderId="12" xfId="56" applyFont="1" applyBorder="1">
      <alignment/>
      <protection/>
    </xf>
    <xf numFmtId="3" fontId="39" fillId="0" borderId="0" xfId="56" applyNumberFormat="1" applyFont="1" applyBorder="1" applyAlignment="1">
      <alignment horizontal="center"/>
      <protection/>
    </xf>
    <xf numFmtId="3" fontId="39" fillId="0" borderId="0" xfId="56" applyNumberFormat="1" applyFont="1" applyBorder="1" applyAlignment="1">
      <alignment/>
      <protection/>
    </xf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6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70" fontId="0" fillId="0" borderId="0" xfId="42" applyNumberFormat="1" applyFill="1" applyBorder="1" applyAlignment="1">
      <alignment vertical="center"/>
    </xf>
    <xf numFmtId="170" fontId="0" fillId="0" borderId="0" xfId="42" applyNumberFormat="1" applyFont="1" applyFill="1" applyBorder="1" applyAlignment="1">
      <alignment vertical="center"/>
    </xf>
    <xf numFmtId="170" fontId="3" fillId="0" borderId="0" xfId="42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0" fillId="0" borderId="0" xfId="56" applyFont="1" applyAlignment="1">
      <alignment horizontal="center"/>
      <protection/>
    </xf>
    <xf numFmtId="49" fontId="6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" fontId="45" fillId="0" borderId="10" xfId="53" applyNumberFormat="1" applyFont="1" applyBorder="1" applyAlignment="1">
      <alignment vertical="top" wrapText="1"/>
      <protection/>
    </xf>
    <xf numFmtId="4" fontId="39" fillId="0" borderId="10" xfId="0" applyNumberFormat="1" applyFont="1" applyBorder="1" applyAlignment="1">
      <alignment vertical="top" wrapText="1"/>
    </xf>
    <xf numFmtId="0" fontId="45" fillId="0" borderId="12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52" applyFont="1" applyAlignment="1">
      <alignment horizontal="center" vertical="center" wrapText="1"/>
      <protection/>
    </xf>
    <xf numFmtId="0" fontId="42" fillId="20" borderId="10" xfId="56" applyFont="1" applyFill="1" applyBorder="1" applyAlignment="1">
      <alignment horizontal="center" vertical="center" wrapText="1"/>
      <protection/>
    </xf>
    <xf numFmtId="0" fontId="41" fillId="0" borderId="11" xfId="56" applyFont="1" applyBorder="1" applyAlignment="1">
      <alignment horizontal="center" vertical="center"/>
      <protection/>
    </xf>
    <xf numFmtId="0" fontId="40" fillId="0" borderId="13" xfId="56" applyFont="1" applyBorder="1" applyAlignment="1">
      <alignment horizontal="center"/>
      <protection/>
    </xf>
    <xf numFmtId="0" fontId="40" fillId="0" borderId="13" xfId="56" applyFont="1" applyBorder="1">
      <alignment/>
      <protection/>
    </xf>
    <xf numFmtId="4" fontId="42" fillId="0" borderId="13" xfId="56" applyNumberFormat="1" applyFont="1" applyBorder="1">
      <alignment/>
      <protection/>
    </xf>
    <xf numFmtId="0" fontId="39" fillId="0" borderId="14" xfId="56" applyFont="1" applyBorder="1" applyAlignment="1">
      <alignment vertical="justify"/>
      <protection/>
    </xf>
    <xf numFmtId="3" fontId="39" fillId="0" borderId="15" xfId="56" applyNumberFormat="1" applyFont="1" applyBorder="1" applyAlignment="1">
      <alignment horizontal="center"/>
      <protection/>
    </xf>
    <xf numFmtId="3" fontId="42" fillId="0" borderId="0" xfId="56" applyNumberFormat="1" applyFont="1" applyBorder="1">
      <alignment/>
      <protection/>
    </xf>
    <xf numFmtId="3" fontId="39" fillId="0" borderId="16" xfId="56" applyNumberFormat="1" applyFont="1" applyBorder="1" applyAlignment="1">
      <alignment horizontal="center"/>
      <protection/>
    </xf>
    <xf numFmtId="0" fontId="39" fillId="0" borderId="17" xfId="56" applyFont="1" applyBorder="1" applyAlignment="1">
      <alignment wrapText="1"/>
      <protection/>
    </xf>
    <xf numFmtId="0" fontId="43" fillId="0" borderId="10" xfId="56" applyFont="1" applyBorder="1" applyAlignment="1">
      <alignment vertical="top" wrapText="1"/>
      <protection/>
    </xf>
    <xf numFmtId="0" fontId="43" fillId="0" borderId="14" xfId="56" applyFont="1" applyBorder="1">
      <alignment/>
      <protection/>
    </xf>
    <xf numFmtId="3" fontId="39" fillId="0" borderId="14" xfId="56" applyNumberFormat="1" applyFont="1" applyBorder="1">
      <alignment/>
      <protection/>
    </xf>
    <xf numFmtId="4" fontId="39" fillId="0" borderId="14" xfId="56" applyNumberFormat="1" applyFont="1" applyBorder="1">
      <alignment/>
      <protection/>
    </xf>
    <xf numFmtId="4" fontId="39" fillId="0" borderId="12" xfId="56" applyNumberFormat="1" applyFont="1" applyBorder="1" applyAlignment="1">
      <alignment vertical="center"/>
      <protection/>
    </xf>
    <xf numFmtId="4" fontId="39" fillId="0" borderId="12" xfId="56" applyNumberFormat="1" applyFont="1" applyBorder="1">
      <alignment/>
      <protection/>
    </xf>
    <xf numFmtId="4" fontId="39" fillId="0" borderId="18" xfId="56" applyNumberFormat="1" applyFont="1" applyBorder="1">
      <alignment/>
      <protection/>
    </xf>
    <xf numFmtId="4" fontId="39" fillId="0" borderId="12" xfId="56" applyNumberFormat="1" applyFont="1" applyBorder="1" applyAlignment="1">
      <alignment/>
      <protection/>
    </xf>
    <xf numFmtId="4" fontId="39" fillId="0" borderId="12" xfId="56" applyNumberFormat="1" applyFont="1" applyBorder="1">
      <alignment/>
      <protection/>
    </xf>
    <xf numFmtId="0" fontId="43" fillId="0" borderId="12" xfId="56" applyFont="1" applyBorder="1">
      <alignment/>
      <protection/>
    </xf>
    <xf numFmtId="3" fontId="39" fillId="0" borderId="12" xfId="56" applyNumberFormat="1" applyFont="1" applyBorder="1" applyAlignment="1">
      <alignment/>
      <protection/>
    </xf>
    <xf numFmtId="4" fontId="39" fillId="0" borderId="17" xfId="56" applyNumberFormat="1" applyFont="1" applyBorder="1">
      <alignment/>
      <protection/>
    </xf>
    <xf numFmtId="4" fontId="39" fillId="0" borderId="17" xfId="56" applyNumberFormat="1" applyFont="1" applyBorder="1" applyAlignment="1">
      <alignment vertical="center"/>
      <protection/>
    </xf>
    <xf numFmtId="4" fontId="6" fillId="0" borderId="17" xfId="52" applyNumberFormat="1" applyFont="1" applyBorder="1" applyAlignment="1">
      <alignment/>
      <protection/>
    </xf>
    <xf numFmtId="0" fontId="33" fillId="0" borderId="12" xfId="56" applyFont="1" applyBorder="1">
      <alignment/>
      <protection/>
    </xf>
    <xf numFmtId="4" fontId="0" fillId="0" borderId="17" xfId="52" applyNumberFormat="1" applyBorder="1" applyAlignment="1">
      <alignment/>
      <protection/>
    </xf>
    <xf numFmtId="4" fontId="6" fillId="0" borderId="12" xfId="52" applyNumberFormat="1" applyFont="1" applyBorder="1" applyAlignment="1">
      <alignment/>
      <protection/>
    </xf>
    <xf numFmtId="4" fontId="0" fillId="0" borderId="12" xfId="52" applyNumberFormat="1" applyBorder="1" applyAlignment="1">
      <alignment/>
      <protection/>
    </xf>
    <xf numFmtId="4" fontId="6" fillId="0" borderId="19" xfId="52" applyNumberFormat="1" applyFont="1" applyBorder="1" applyAlignment="1">
      <alignment/>
      <protection/>
    </xf>
    <xf numFmtId="4" fontId="0" fillId="0" borderId="19" xfId="52" applyNumberFormat="1" applyBorder="1" applyAlignment="1">
      <alignment/>
      <protection/>
    </xf>
    <xf numFmtId="0" fontId="43" fillId="0" borderId="17" xfId="56" applyFont="1" applyBorder="1" applyAlignment="1">
      <alignment horizontal="center" vertical="center"/>
      <protection/>
    </xf>
    <xf numFmtId="0" fontId="39" fillId="0" borderId="20" xfId="56" applyFont="1" applyBorder="1" applyAlignment="1">
      <alignment vertical="justify"/>
      <protection/>
    </xf>
    <xf numFmtId="3" fontId="39" fillId="0" borderId="21" xfId="56" applyNumberFormat="1" applyFont="1" applyBorder="1" applyAlignment="1">
      <alignment horizontal="center"/>
      <protection/>
    </xf>
    <xf numFmtId="3" fontId="39" fillId="0" borderId="22" xfId="56" applyNumberFormat="1" applyFont="1" applyBorder="1" applyAlignment="1">
      <alignment horizontal="center"/>
      <protection/>
    </xf>
    <xf numFmtId="3" fontId="42" fillId="0" borderId="22" xfId="56" applyNumberFormat="1" applyFont="1" applyBorder="1">
      <alignment/>
      <protection/>
    </xf>
    <xf numFmtId="3" fontId="0" fillId="0" borderId="22" xfId="52" applyNumberFormat="1" applyBorder="1" applyAlignment="1">
      <alignment/>
      <protection/>
    </xf>
    <xf numFmtId="3" fontId="0" fillId="0" borderId="23" xfId="52" applyNumberFormat="1" applyBorder="1" applyAlignment="1">
      <alignment/>
      <protection/>
    </xf>
    <xf numFmtId="3" fontId="0" fillId="0" borderId="0" xfId="52" applyNumberFormat="1" applyBorder="1" applyAlignment="1">
      <alignment/>
      <protection/>
    </xf>
    <xf numFmtId="3" fontId="0" fillId="0" borderId="16" xfId="52" applyNumberFormat="1" applyBorder="1" applyAlignment="1">
      <alignment/>
      <protection/>
    </xf>
    <xf numFmtId="0" fontId="39" fillId="0" borderId="24" xfId="56" applyFont="1" applyBorder="1" applyAlignment="1">
      <alignment wrapText="1"/>
      <protection/>
    </xf>
    <xf numFmtId="3" fontId="39" fillId="0" borderId="25" xfId="56" applyNumberFormat="1" applyFont="1" applyBorder="1" applyAlignment="1">
      <alignment horizontal="center"/>
      <protection/>
    </xf>
    <xf numFmtId="3" fontId="39" fillId="0" borderId="26" xfId="56" applyNumberFormat="1" applyFont="1" applyBorder="1" applyAlignment="1">
      <alignment horizontal="center"/>
      <protection/>
    </xf>
    <xf numFmtId="3" fontId="42" fillId="0" borderId="26" xfId="56" applyNumberFormat="1" applyFont="1" applyBorder="1">
      <alignment/>
      <protection/>
    </xf>
    <xf numFmtId="3" fontId="0" fillId="0" borderId="26" xfId="52" applyNumberFormat="1" applyBorder="1" applyAlignment="1">
      <alignment/>
      <protection/>
    </xf>
    <xf numFmtId="3" fontId="0" fillId="0" borderId="27" xfId="52" applyNumberFormat="1" applyBorder="1" applyAlignment="1">
      <alignment/>
      <protection/>
    </xf>
    <xf numFmtId="0" fontId="43" fillId="0" borderId="20" xfId="56" applyFont="1" applyBorder="1" applyAlignment="1">
      <alignment vertical="top" wrapText="1"/>
      <protection/>
    </xf>
    <xf numFmtId="4" fontId="39" fillId="0" borderId="20" xfId="56" applyNumberFormat="1" applyFont="1" applyBorder="1" applyAlignment="1">
      <alignment vertical="center"/>
      <protection/>
    </xf>
    <xf numFmtId="3" fontId="39" fillId="0" borderId="12" xfId="56" applyNumberFormat="1" applyFont="1" applyBorder="1" applyAlignment="1">
      <alignment horizontal="center"/>
      <protection/>
    </xf>
    <xf numFmtId="3" fontId="39" fillId="0" borderId="12" xfId="56" applyNumberFormat="1" applyFont="1" applyBorder="1">
      <alignment/>
      <protection/>
    </xf>
    <xf numFmtId="4" fontId="39" fillId="0" borderId="12" xfId="56" applyNumberFormat="1" applyFont="1" applyFill="1" applyBorder="1" applyAlignment="1">
      <alignment/>
      <protection/>
    </xf>
    <xf numFmtId="3" fontId="39" fillId="0" borderId="15" xfId="56" applyNumberFormat="1" applyFont="1" applyBorder="1" applyAlignment="1">
      <alignment/>
      <protection/>
    </xf>
    <xf numFmtId="4" fontId="39" fillId="0" borderId="0" xfId="56" applyNumberFormat="1" applyFont="1" applyBorder="1">
      <alignment/>
      <protection/>
    </xf>
    <xf numFmtId="4" fontId="6" fillId="0" borderId="0" xfId="52" applyNumberFormat="1" applyFont="1" applyBorder="1" applyAlignment="1">
      <alignment/>
      <protection/>
    </xf>
    <xf numFmtId="0" fontId="43" fillId="0" borderId="14" xfId="56" applyFont="1" applyBorder="1" applyAlignment="1">
      <alignment vertical="top" wrapText="1"/>
      <protection/>
    </xf>
    <xf numFmtId="4" fontId="39" fillId="0" borderId="19" xfId="56" applyNumberFormat="1" applyFont="1" applyBorder="1" applyAlignment="1">
      <alignment vertical="center"/>
      <protection/>
    </xf>
    <xf numFmtId="0" fontId="43" fillId="0" borderId="17" xfId="56" applyFont="1" applyBorder="1" applyAlignment="1">
      <alignment horizontal="center"/>
      <protection/>
    </xf>
    <xf numFmtId="0" fontId="43" fillId="0" borderId="17" xfId="56" applyFont="1" applyBorder="1">
      <alignment/>
      <protection/>
    </xf>
    <xf numFmtId="0" fontId="43" fillId="0" borderId="20" xfId="56" applyFont="1" applyBorder="1">
      <alignment/>
      <protection/>
    </xf>
    <xf numFmtId="3" fontId="39" fillId="0" borderId="20" xfId="56" applyNumberFormat="1" applyFont="1" applyBorder="1">
      <alignment/>
      <protection/>
    </xf>
    <xf numFmtId="0" fontId="43" fillId="0" borderId="24" xfId="56" applyFont="1" applyBorder="1" applyAlignment="1">
      <alignment horizontal="center"/>
      <protection/>
    </xf>
    <xf numFmtId="0" fontId="43" fillId="0" borderId="24" xfId="56" applyFont="1" applyBorder="1">
      <alignment/>
      <protection/>
    </xf>
    <xf numFmtId="0" fontId="47" fillId="0" borderId="0" xfId="56" applyFont="1">
      <alignment/>
      <protection/>
    </xf>
    <xf numFmtId="0" fontId="48" fillId="0" borderId="0" xfId="56" applyFont="1" applyBorder="1" applyAlignment="1">
      <alignment wrapText="1"/>
      <protection/>
    </xf>
    <xf numFmtId="0" fontId="43" fillId="0" borderId="0" xfId="56" applyFont="1" applyBorder="1">
      <alignment/>
      <protection/>
    </xf>
    <xf numFmtId="0" fontId="10" fillId="0" borderId="0" xfId="56" applyFont="1" applyBorder="1" applyAlignment="1">
      <alignment wrapText="1"/>
      <protection/>
    </xf>
    <xf numFmtId="0" fontId="0" fillId="0" borderId="0" xfId="52" applyAlignment="1">
      <alignment vertical="center"/>
      <protection/>
    </xf>
    <xf numFmtId="0" fontId="6" fillId="0" borderId="0" xfId="52" applyFont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1" fillId="0" borderId="10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42" fillId="0" borderId="11" xfId="56" applyFont="1" applyBorder="1" applyAlignment="1">
      <alignment vertical="top" wrapText="1"/>
      <protection/>
    </xf>
    <xf numFmtId="4" fontId="6" fillId="0" borderId="20" xfId="52" applyNumberFormat="1" applyFont="1" applyBorder="1" applyAlignment="1">
      <alignment vertical="center"/>
      <protection/>
    </xf>
    <xf numFmtId="4" fontId="6" fillId="0" borderId="20" xfId="52" applyNumberFormat="1" applyFont="1" applyBorder="1" applyAlignment="1">
      <alignment horizontal="center" vertical="center" wrapText="1"/>
      <protection/>
    </xf>
    <xf numFmtId="3" fontId="6" fillId="0" borderId="20" xfId="52" applyNumberFormat="1" applyFont="1" applyBorder="1" applyAlignment="1">
      <alignment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vertical="center"/>
      <protection/>
    </xf>
    <xf numFmtId="0" fontId="42" fillId="0" borderId="12" xfId="56" applyFont="1" applyBorder="1" applyAlignment="1">
      <alignment vertical="top" wrapText="1"/>
      <protection/>
    </xf>
    <xf numFmtId="4" fontId="6" fillId="0" borderId="14" xfId="52" applyNumberFormat="1" applyFont="1" applyBorder="1" applyAlignment="1">
      <alignment vertical="center"/>
      <protection/>
    </xf>
    <xf numFmtId="4" fontId="6" fillId="0" borderId="14" xfId="52" applyNumberFormat="1" applyFont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vertical="center"/>
      <protection/>
    </xf>
    <xf numFmtId="3" fontId="6" fillId="0" borderId="10" xfId="52" applyNumberFormat="1" applyFont="1" applyBorder="1" applyAlignment="1">
      <alignment vertical="center"/>
      <protection/>
    </xf>
    <xf numFmtId="4" fontId="36" fillId="0" borderId="10" xfId="52" applyNumberFormat="1" applyFont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52" applyBorder="1" applyAlignment="1">
      <alignment vertical="center"/>
      <protection/>
    </xf>
    <xf numFmtId="0" fontId="0" fillId="0" borderId="10" xfId="52" applyBorder="1" applyAlignment="1">
      <alignment vertical="center" wrapText="1"/>
      <protection/>
    </xf>
    <xf numFmtId="3" fontId="0" fillId="0" borderId="10" xfId="52" applyNumberFormat="1" applyFont="1" applyBorder="1" applyAlignment="1">
      <alignment vertical="center"/>
      <protection/>
    </xf>
    <xf numFmtId="3" fontId="0" fillId="0" borderId="10" xfId="52" applyNumberFormat="1" applyBorder="1" applyAlignment="1">
      <alignment vertical="center"/>
      <protection/>
    </xf>
    <xf numFmtId="0" fontId="0" fillId="0" borderId="28" xfId="52" applyBorder="1" applyAlignment="1">
      <alignment vertical="center" wrapText="1"/>
      <protection/>
    </xf>
    <xf numFmtId="4" fontId="0" fillId="0" borderId="29" xfId="52" applyNumberFormat="1" applyBorder="1" applyAlignment="1">
      <alignment vertical="center" wrapText="1"/>
      <protection/>
    </xf>
    <xf numFmtId="0" fontId="0" fillId="0" borderId="29" xfId="52" applyBorder="1" applyAlignment="1">
      <alignment vertical="center" wrapText="1"/>
      <protection/>
    </xf>
    <xf numFmtId="0" fontId="0" fillId="0" borderId="10" xfId="52" applyFont="1" applyBorder="1" applyAlignment="1">
      <alignment vertical="center" wrapText="1"/>
      <protection/>
    </xf>
    <xf numFmtId="0" fontId="7" fillId="0" borderId="10" xfId="56" applyFont="1" applyBorder="1" applyAlignment="1">
      <alignment vertical="top" wrapText="1"/>
      <protection/>
    </xf>
    <xf numFmtId="4" fontId="0" fillId="0" borderId="10" xfId="52" applyNumberFormat="1" applyFont="1" applyBorder="1" applyAlignment="1">
      <alignment vertical="center"/>
      <protection/>
    </xf>
    <xf numFmtId="4" fontId="0" fillId="0" borderId="10" xfId="52" applyNumberFormat="1" applyBorder="1" applyAlignment="1">
      <alignment vertical="center"/>
      <protection/>
    </xf>
    <xf numFmtId="3" fontId="49" fillId="0" borderId="10" xfId="52" applyNumberFormat="1" applyFont="1" applyBorder="1" applyAlignment="1">
      <alignment vertical="center"/>
      <protection/>
    </xf>
    <xf numFmtId="0" fontId="7" fillId="0" borderId="10" xfId="56" applyFont="1" applyBorder="1" applyAlignment="1">
      <alignment vertical="center" wrapText="1"/>
      <protection/>
    </xf>
    <xf numFmtId="0" fontId="0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6" fillId="0" borderId="0" xfId="52" applyFont="1" applyAlignment="1">
      <alignment horizontal="right" vertical="top"/>
      <protection/>
    </xf>
    <xf numFmtId="0" fontId="15" fillId="0" borderId="10" xfId="52" applyFont="1" applyFill="1" applyBorder="1" applyAlignment="1">
      <alignment horizontal="center" vertical="center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0" fontId="1" fillId="0" borderId="0" xfId="52" applyFont="1" applyFill="1" applyAlignment="1">
      <alignment vertical="center"/>
      <protection/>
    </xf>
    <xf numFmtId="0" fontId="5" fillId="0" borderId="10" xfId="52" applyFont="1" applyBorder="1" applyAlignment="1">
      <alignment vertical="center"/>
      <protection/>
    </xf>
    <xf numFmtId="3" fontId="13" fillId="0" borderId="10" xfId="52" applyNumberFormat="1" applyFont="1" applyBorder="1" applyAlignment="1">
      <alignment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vertical="center"/>
      <protection/>
    </xf>
    <xf numFmtId="3" fontId="5" fillId="0" borderId="10" xfId="52" applyNumberFormat="1" applyFont="1" applyBorder="1" applyAlignment="1">
      <alignment vertical="center"/>
      <protection/>
    </xf>
    <xf numFmtId="0" fontId="5" fillId="0" borderId="19" xfId="52" applyFont="1" applyBorder="1" applyAlignment="1">
      <alignment horizontal="center" vertical="center"/>
      <protection/>
    </xf>
    <xf numFmtId="3" fontId="5" fillId="0" borderId="19" xfId="52" applyNumberFormat="1" applyFont="1" applyBorder="1" applyAlignment="1">
      <alignment vertical="center"/>
      <protection/>
    </xf>
    <xf numFmtId="0" fontId="5" fillId="0" borderId="19" xfId="52" applyFont="1" applyBorder="1" applyAlignment="1">
      <alignment vertical="center" wrapText="1"/>
      <protection/>
    </xf>
    <xf numFmtId="3" fontId="5" fillId="0" borderId="30" xfId="52" applyNumberFormat="1" applyFont="1" applyBorder="1" applyAlignment="1">
      <alignment vertical="center"/>
      <protection/>
    </xf>
    <xf numFmtId="3" fontId="5" fillId="0" borderId="10" xfId="52" applyNumberFormat="1" applyFont="1" applyBorder="1" applyAlignment="1">
      <alignment vertical="center"/>
      <protection/>
    </xf>
    <xf numFmtId="0" fontId="5" fillId="0" borderId="30" xfId="52" applyFont="1" applyBorder="1" applyAlignment="1">
      <alignment vertical="center"/>
      <protection/>
    </xf>
    <xf numFmtId="0" fontId="5" fillId="0" borderId="10" xfId="52" applyFont="1" applyBorder="1" applyAlignment="1">
      <alignment vertical="center" wrapText="1"/>
      <protection/>
    </xf>
    <xf numFmtId="0" fontId="5" fillId="0" borderId="19" xfId="52" applyFont="1" applyBorder="1" applyAlignment="1">
      <alignment vertical="center"/>
      <protection/>
    </xf>
    <xf numFmtId="3" fontId="5" fillId="0" borderId="19" xfId="52" applyNumberFormat="1" applyFont="1" applyBorder="1" applyAlignment="1">
      <alignment vertical="center"/>
      <protection/>
    </xf>
    <xf numFmtId="0" fontId="5" fillId="0" borderId="30" xfId="52" applyFont="1" applyBorder="1" applyAlignment="1">
      <alignment horizontal="center" vertical="center"/>
      <protection/>
    </xf>
    <xf numFmtId="0" fontId="5" fillId="0" borderId="24" xfId="52" applyFont="1" applyBorder="1" applyAlignment="1">
      <alignment horizontal="center" vertical="center"/>
      <protection/>
    </xf>
    <xf numFmtId="3" fontId="14" fillId="0" borderId="10" xfId="52" applyNumberFormat="1" applyFont="1" applyBorder="1" applyAlignment="1">
      <alignment vertical="center"/>
      <protection/>
    </xf>
    <xf numFmtId="0" fontId="7" fillId="0" borderId="0" xfId="52" applyFont="1" applyAlignment="1">
      <alignment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>
      <alignment/>
      <protection/>
    </xf>
    <xf numFmtId="0" fontId="7" fillId="0" borderId="0" xfId="55">
      <alignment/>
      <protection/>
    </xf>
    <xf numFmtId="0" fontId="7" fillId="0" borderId="0" xfId="55" applyAlignment="1">
      <alignment vertical="center"/>
      <protection/>
    </xf>
    <xf numFmtId="0" fontId="5" fillId="0" borderId="0" xfId="55" applyFont="1" applyAlignment="1">
      <alignment horizontal="right" vertical="center"/>
      <protection/>
    </xf>
    <xf numFmtId="0" fontId="1" fillId="0" borderId="11" xfId="55" applyFont="1" applyBorder="1" applyAlignment="1">
      <alignment horizontal="center" vertical="center"/>
      <protection/>
    </xf>
    <xf numFmtId="0" fontId="9" fillId="0" borderId="0" xfId="55" applyFont="1" applyAlignment="1">
      <alignment vertical="center"/>
      <protection/>
    </xf>
    <xf numFmtId="3" fontId="6" fillId="0" borderId="10" xfId="0" applyNumberFormat="1" applyFont="1" applyBorder="1" applyAlignment="1">
      <alignment horizontal="right" vertical="top"/>
    </xf>
    <xf numFmtId="3" fontId="36" fillId="0" borderId="10" xfId="0" applyNumberFormat="1" applyFont="1" applyBorder="1" applyAlignment="1">
      <alignment horizontal="right" vertical="top"/>
    </xf>
    <xf numFmtId="3" fontId="6" fillId="0" borderId="10" xfId="0" applyNumberFormat="1" applyFont="1" applyBorder="1" applyAlignment="1">
      <alignment horizontal="right" vertical="top"/>
    </xf>
    <xf numFmtId="3" fontId="37" fillId="0" borderId="10" xfId="0" applyNumberFormat="1" applyFont="1" applyBorder="1" applyAlignment="1">
      <alignment horizontal="right" vertical="top"/>
    </xf>
    <xf numFmtId="0" fontId="3" fillId="20" borderId="10" xfId="0" applyFont="1" applyFill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 vertical="top"/>
    </xf>
    <xf numFmtId="49" fontId="50" fillId="0" borderId="10" xfId="0" applyNumberFormat="1" applyFont="1" applyBorder="1" applyAlignment="1">
      <alignment horizontal="center" vertical="top"/>
    </xf>
    <xf numFmtId="49" fontId="35" fillId="0" borderId="10" xfId="0" applyNumberFormat="1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13" fillId="0" borderId="31" xfId="55" applyFont="1" applyBorder="1" applyAlignment="1">
      <alignment horizontal="center"/>
      <protection/>
    </xf>
    <xf numFmtId="0" fontId="1" fillId="20" borderId="3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4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35" fillId="0" borderId="0" xfId="0" applyFont="1" applyBorder="1" applyAlignment="1">
      <alignment/>
    </xf>
    <xf numFmtId="0" fontId="50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35" fillId="0" borderId="17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4" fontId="15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3" fontId="52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70" fontId="0" fillId="0" borderId="10" xfId="42" applyNumberFormat="1" applyBorder="1" applyAlignment="1">
      <alignment vertical="center"/>
    </xf>
    <xf numFmtId="170" fontId="0" fillId="0" borderId="10" xfId="42" applyNumberFormat="1" applyFont="1" applyBorder="1" applyAlignment="1">
      <alignment vertical="center"/>
    </xf>
    <xf numFmtId="170" fontId="3" fillId="0" borderId="10" xfId="42" applyNumberFormat="1" applyFont="1" applyBorder="1" applyAlignment="1">
      <alignment vertical="center"/>
    </xf>
    <xf numFmtId="170" fontId="3" fillId="0" borderId="0" xfId="42" applyNumberFormat="1" applyFont="1" applyBorder="1" applyAlignment="1">
      <alignment vertical="center"/>
    </xf>
    <xf numFmtId="170" fontId="0" fillId="0" borderId="10" xfId="42" applyNumberFormat="1" applyFont="1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20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indent="2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 indent="2"/>
    </xf>
    <xf numFmtId="3" fontId="0" fillId="0" borderId="24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/>
    </xf>
    <xf numFmtId="3" fontId="3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3" fontId="0" fillId="0" borderId="2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34" fillId="0" borderId="20" xfId="0" applyFont="1" applyBorder="1" applyAlignment="1">
      <alignment horizontal="left" vertical="center"/>
    </xf>
    <xf numFmtId="3" fontId="34" fillId="0" borderId="2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3" fontId="34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40" fillId="20" borderId="27" xfId="55" applyFont="1" applyFill="1" applyBorder="1" applyAlignment="1">
      <alignment horizontal="center" vertical="center" wrapText="1"/>
      <protection/>
    </xf>
    <xf numFmtId="0" fontId="50" fillId="20" borderId="29" xfId="55" applyFont="1" applyFill="1" applyBorder="1" applyAlignment="1">
      <alignment horizontal="center" vertical="center" wrapText="1"/>
      <protection/>
    </xf>
    <xf numFmtId="0" fontId="6" fillId="0" borderId="12" xfId="55" applyFont="1" applyBorder="1" applyAlignment="1">
      <alignment wrapText="1"/>
      <protection/>
    </xf>
    <xf numFmtId="3" fontId="6" fillId="0" borderId="12" xfId="55" applyNumberFormat="1" applyFont="1" applyBorder="1">
      <alignment/>
      <protection/>
    </xf>
    <xf numFmtId="3" fontId="6" fillId="0" borderId="14" xfId="55" applyNumberFormat="1" applyFont="1" applyBorder="1">
      <alignment/>
      <protection/>
    </xf>
    <xf numFmtId="0" fontId="6" fillId="0" borderId="19" xfId="55" applyFont="1" applyBorder="1">
      <alignment/>
      <protection/>
    </xf>
    <xf numFmtId="0" fontId="6" fillId="0" borderId="12" xfId="55" applyFont="1" applyBorder="1">
      <alignment/>
      <protection/>
    </xf>
    <xf numFmtId="0" fontId="39" fillId="0" borderId="12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vertical="center"/>
      <protection/>
    </xf>
    <xf numFmtId="3" fontId="6" fillId="0" borderId="19" xfId="55" applyNumberFormat="1" applyFont="1" applyBorder="1">
      <alignment/>
      <protection/>
    </xf>
    <xf numFmtId="0" fontId="36" fillId="0" borderId="19" xfId="55" applyFont="1" applyBorder="1" applyAlignment="1">
      <alignment wrapText="1"/>
      <protection/>
    </xf>
    <xf numFmtId="0" fontId="36" fillId="0" borderId="19" xfId="55" applyFont="1" applyBorder="1" applyAlignment="1">
      <alignment horizontal="center" wrapText="1"/>
      <protection/>
    </xf>
    <xf numFmtId="0" fontId="36" fillId="0" borderId="19" xfId="55" applyFont="1" applyBorder="1" applyAlignment="1">
      <alignment horizontal="left"/>
      <protection/>
    </xf>
    <xf numFmtId="3" fontId="36" fillId="0" borderId="19" xfId="55" applyNumberFormat="1" applyFont="1" applyBorder="1">
      <alignment/>
      <protection/>
    </xf>
    <xf numFmtId="3" fontId="36" fillId="0" borderId="15" xfId="55" applyNumberFormat="1" applyFont="1" applyBorder="1">
      <alignment/>
      <protection/>
    </xf>
    <xf numFmtId="3" fontId="36" fillId="0" borderId="32" xfId="55" applyNumberFormat="1" applyFont="1" applyBorder="1">
      <alignment/>
      <protection/>
    </xf>
    <xf numFmtId="0" fontId="6" fillId="0" borderId="11" xfId="55" applyFont="1" applyBorder="1">
      <alignment/>
      <protection/>
    </xf>
    <xf numFmtId="0" fontId="39" fillId="0" borderId="11" xfId="55" applyFont="1" applyBorder="1" applyAlignment="1">
      <alignment horizontal="center" vertical="center" wrapText="1"/>
      <protection/>
    </xf>
    <xf numFmtId="0" fontId="37" fillId="0" borderId="11" xfId="55" applyFont="1" applyBorder="1" applyAlignment="1">
      <alignment vertical="top" wrapText="1"/>
      <protection/>
    </xf>
    <xf numFmtId="3" fontId="37" fillId="0" borderId="11" xfId="55" applyNumberFormat="1" applyFont="1" applyBorder="1">
      <alignment/>
      <protection/>
    </xf>
    <xf numFmtId="0" fontId="39" fillId="0" borderId="19" xfId="55" applyFont="1" applyBorder="1" applyAlignment="1">
      <alignment horizontal="center" vertical="center" wrapText="1"/>
      <protection/>
    </xf>
    <xf numFmtId="0" fontId="37" fillId="0" borderId="19" xfId="55" applyFont="1" applyBorder="1" applyAlignment="1">
      <alignment wrapText="1"/>
      <protection/>
    </xf>
    <xf numFmtId="3" fontId="37" fillId="0" borderId="19" xfId="55" applyNumberFormat="1" applyFont="1" applyBorder="1">
      <alignment/>
      <protection/>
    </xf>
    <xf numFmtId="0" fontId="36" fillId="0" borderId="11" xfId="55" applyFont="1" applyBorder="1">
      <alignment/>
      <protection/>
    </xf>
    <xf numFmtId="0" fontId="42" fillId="0" borderId="11" xfId="55" applyFont="1" applyBorder="1" applyAlignment="1">
      <alignment horizontal="center" vertical="center" wrapText="1"/>
      <protection/>
    </xf>
    <xf numFmtId="0" fontId="36" fillId="0" borderId="11" xfId="55" applyFont="1" applyBorder="1" applyAlignment="1">
      <alignment vertical="center" wrapText="1"/>
      <protection/>
    </xf>
    <xf numFmtId="3" fontId="36" fillId="0" borderId="11" xfId="55" applyNumberFormat="1" applyFont="1" applyBorder="1">
      <alignment/>
      <protection/>
    </xf>
    <xf numFmtId="0" fontId="6" fillId="0" borderId="20" xfId="55" applyFont="1" applyBorder="1">
      <alignment/>
      <protection/>
    </xf>
    <xf numFmtId="0" fontId="39" fillId="0" borderId="20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vertical="center" wrapText="1"/>
      <protection/>
    </xf>
    <xf numFmtId="3" fontId="6" fillId="0" borderId="20" xfId="55" applyNumberFormat="1" applyFont="1" applyBorder="1">
      <alignment/>
      <protection/>
    </xf>
    <xf numFmtId="3" fontId="6" fillId="0" borderId="20" xfId="55" applyNumberFormat="1" applyFont="1" applyBorder="1">
      <alignment/>
      <protection/>
    </xf>
    <xf numFmtId="0" fontId="6" fillId="0" borderId="14" xfId="55" applyFont="1" applyBorder="1">
      <alignment/>
      <protection/>
    </xf>
    <xf numFmtId="0" fontId="39" fillId="0" borderId="14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vertical="center" wrapText="1"/>
      <protection/>
    </xf>
    <xf numFmtId="0" fontId="39" fillId="0" borderId="14" xfId="55" applyFont="1" applyBorder="1" applyAlignment="1">
      <alignment horizontal="center"/>
      <protection/>
    </xf>
    <xf numFmtId="0" fontId="6" fillId="0" borderId="12" xfId="55" applyFont="1" applyBorder="1" applyAlignment="1">
      <alignment vertical="center" wrapText="1"/>
      <protection/>
    </xf>
    <xf numFmtId="0" fontId="37" fillId="0" borderId="14" xfId="55" applyFont="1" applyBorder="1" applyAlignment="1">
      <alignment vertical="center" wrapText="1"/>
      <protection/>
    </xf>
    <xf numFmtId="3" fontId="37" fillId="0" borderId="12" xfId="55" applyNumberFormat="1" applyFont="1" applyBorder="1">
      <alignment/>
      <protection/>
    </xf>
    <xf numFmtId="3" fontId="37" fillId="0" borderId="14" xfId="55" applyNumberFormat="1" applyFont="1" applyBorder="1">
      <alignment/>
      <protection/>
    </xf>
    <xf numFmtId="0" fontId="36" fillId="0" borderId="14" xfId="55" applyFont="1" applyBorder="1">
      <alignment/>
      <protection/>
    </xf>
    <xf numFmtId="0" fontId="36" fillId="0" borderId="12" xfId="55" applyFont="1" applyBorder="1">
      <alignment/>
      <protection/>
    </xf>
    <xf numFmtId="0" fontId="42" fillId="0" borderId="12" xfId="55" applyFont="1" applyBorder="1" applyAlignment="1">
      <alignment horizontal="center" vertical="center" wrapText="1"/>
      <protection/>
    </xf>
    <xf numFmtId="0" fontId="36" fillId="0" borderId="14" xfId="55" applyFont="1" applyBorder="1">
      <alignment/>
      <protection/>
    </xf>
    <xf numFmtId="3" fontId="36" fillId="0" borderId="12" xfId="55" applyNumberFormat="1" applyFont="1" applyBorder="1">
      <alignment/>
      <protection/>
    </xf>
    <xf numFmtId="3" fontId="36" fillId="0" borderId="14" xfId="55" applyNumberFormat="1" applyFont="1" applyBorder="1">
      <alignment/>
      <protection/>
    </xf>
    <xf numFmtId="0" fontId="42" fillId="0" borderId="14" xfId="55" applyFont="1" applyBorder="1" applyAlignment="1">
      <alignment horizontal="center"/>
      <protection/>
    </xf>
    <xf numFmtId="0" fontId="6" fillId="0" borderId="24" xfId="55" applyFont="1" applyBorder="1">
      <alignment/>
      <protection/>
    </xf>
    <xf numFmtId="3" fontId="6" fillId="0" borderId="24" xfId="55" applyNumberFormat="1" applyFont="1" applyBorder="1">
      <alignment/>
      <protection/>
    </xf>
    <xf numFmtId="3" fontId="13" fillId="0" borderId="31" xfId="55" applyNumberFormat="1" applyFont="1" applyBorder="1">
      <alignment/>
      <protection/>
    </xf>
    <xf numFmtId="0" fontId="7" fillId="0" borderId="0" xfId="55" applyFont="1">
      <alignment/>
      <protection/>
    </xf>
    <xf numFmtId="3" fontId="36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36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6" fillId="0" borderId="11" xfId="0" applyNumberFormat="1" applyFont="1" applyBorder="1" applyAlignment="1">
      <alignment horizontal="right" vertical="top" wrapText="1"/>
    </xf>
    <xf numFmtId="4" fontId="0" fillId="0" borderId="29" xfId="52" applyNumberFormat="1" applyFont="1" applyBorder="1" applyAlignment="1">
      <alignment vertical="center" wrapText="1"/>
      <protection/>
    </xf>
    <xf numFmtId="4" fontId="39" fillId="0" borderId="10" xfId="53" applyNumberFormat="1" applyFont="1" applyBorder="1" applyAlignment="1">
      <alignment vertical="top" wrapText="1"/>
      <protection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vertical="top" wrapText="1"/>
    </xf>
    <xf numFmtId="4" fontId="45" fillId="0" borderId="10" xfId="0" applyNumberFormat="1" applyFont="1" applyBorder="1" applyAlignment="1">
      <alignment vertical="top" wrapText="1"/>
    </xf>
    <xf numFmtId="4" fontId="42" fillId="0" borderId="10" xfId="53" applyNumberFormat="1" applyFont="1" applyBorder="1" applyAlignment="1">
      <alignment vertical="top" wrapText="1"/>
      <protection/>
    </xf>
    <xf numFmtId="4" fontId="39" fillId="0" borderId="10" xfId="53" applyNumberFormat="1" applyFont="1" applyFill="1" applyBorder="1" applyAlignment="1">
      <alignment vertical="top" wrapText="1"/>
      <protection/>
    </xf>
    <xf numFmtId="3" fontId="0" fillId="0" borderId="29" xfId="52" applyNumberFormat="1" applyFont="1" applyBorder="1" applyAlignment="1">
      <alignment vertical="center"/>
      <protection/>
    </xf>
    <xf numFmtId="0" fontId="43" fillId="0" borderId="30" xfId="0" applyFont="1" applyBorder="1" applyAlignment="1">
      <alignment vertical="top" wrapText="1"/>
    </xf>
    <xf numFmtId="4" fontId="35" fillId="0" borderId="10" xfId="0" applyNumberFormat="1" applyFont="1" applyBorder="1" applyAlignment="1">
      <alignment horizontal="right" vertical="top"/>
    </xf>
    <xf numFmtId="4" fontId="50" fillId="0" borderId="10" xfId="0" applyNumberFormat="1" applyFont="1" applyBorder="1" applyAlignment="1">
      <alignment horizontal="right" vertical="top"/>
    </xf>
    <xf numFmtId="0" fontId="0" fillId="0" borderId="10" xfId="54" applyFont="1" applyBorder="1" applyAlignment="1">
      <alignment horizontal="center"/>
      <protection/>
    </xf>
    <xf numFmtId="0" fontId="0" fillId="0" borderId="0" xfId="54">
      <alignment/>
      <protection/>
    </xf>
    <xf numFmtId="0" fontId="3" fillId="0" borderId="28" xfId="54" applyFont="1" applyBorder="1" applyAlignment="1">
      <alignment vertical="top"/>
      <protection/>
    </xf>
    <xf numFmtId="4" fontId="3" fillId="0" borderId="10" xfId="54" applyNumberFormat="1" applyFont="1" applyBorder="1">
      <alignment/>
      <protection/>
    </xf>
    <xf numFmtId="3" fontId="3" fillId="0" borderId="10" xfId="54" applyNumberFormat="1" applyFont="1" applyBorder="1">
      <alignment/>
      <protection/>
    </xf>
    <xf numFmtId="0" fontId="0" fillId="0" borderId="10" xfId="54" applyFont="1" applyBorder="1">
      <alignment/>
      <protection/>
    </xf>
    <xf numFmtId="0" fontId="0" fillId="0" borderId="10" xfId="54" applyFont="1" applyBorder="1">
      <alignment/>
      <protection/>
    </xf>
    <xf numFmtId="4" fontId="0" fillId="0" borderId="10" xfId="54" applyNumberFormat="1" applyBorder="1">
      <alignment/>
      <protection/>
    </xf>
    <xf numFmtId="3" fontId="0" fillId="0" borderId="10" xfId="54" applyNumberFormat="1" applyFont="1" applyBorder="1">
      <alignment/>
      <protection/>
    </xf>
    <xf numFmtId="0" fontId="0" fillId="0" borderId="10" xfId="54" applyBorder="1">
      <alignment/>
      <protection/>
    </xf>
    <xf numFmtId="0" fontId="0" fillId="0" borderId="10" xfId="54" applyFont="1" applyBorder="1" applyAlignment="1">
      <alignment wrapText="1"/>
      <protection/>
    </xf>
    <xf numFmtId="3" fontId="0" fillId="0" borderId="10" xfId="54" applyNumberFormat="1" applyBorder="1">
      <alignment/>
      <protection/>
    </xf>
    <xf numFmtId="0" fontId="0" fillId="0" borderId="10" xfId="54" applyFont="1" applyBorder="1" applyAlignment="1">
      <alignment vertical="top"/>
      <protection/>
    </xf>
    <xf numFmtId="0" fontId="10" fillId="0" borderId="29" xfId="55" applyFont="1" applyBorder="1" applyAlignment="1">
      <alignment/>
      <protection/>
    </xf>
    <xf numFmtId="0" fontId="0" fillId="0" borderId="10" xfId="54" applyFont="1" applyBorder="1" applyAlignment="1">
      <alignment/>
      <protection/>
    </xf>
    <xf numFmtId="0" fontId="0" fillId="0" borderId="10" xfId="54" applyFont="1" applyBorder="1" applyAlignment="1">
      <alignment wrapText="1"/>
      <protection/>
    </xf>
    <xf numFmtId="0" fontId="7" fillId="0" borderId="10" xfId="54" applyFont="1" applyBorder="1" applyAlignment="1">
      <alignment vertical="center" wrapText="1"/>
      <protection/>
    </xf>
    <xf numFmtId="0" fontId="7" fillId="0" borderId="33" xfId="54" applyFont="1" applyBorder="1" applyAlignment="1">
      <alignment vertical="center" wrapText="1"/>
      <protection/>
    </xf>
    <xf numFmtId="4" fontId="0" fillId="0" borderId="10" xfId="54" applyNumberFormat="1" applyFont="1" applyBorder="1">
      <alignment/>
      <protection/>
    </xf>
    <xf numFmtId="0" fontId="0" fillId="0" borderId="28" xfId="54" applyFont="1" applyBorder="1" applyAlignment="1">
      <alignment/>
      <protection/>
    </xf>
    <xf numFmtId="0" fontId="7" fillId="0" borderId="29" xfId="55" applyBorder="1" applyAlignment="1">
      <alignment/>
      <protection/>
    </xf>
    <xf numFmtId="0" fontId="7" fillId="0" borderId="29" xfId="55" applyFont="1" applyBorder="1" applyAlignment="1">
      <alignment wrapText="1"/>
      <protection/>
    </xf>
    <xf numFmtId="0" fontId="7" fillId="0" borderId="29" xfId="55" applyFont="1" applyBorder="1" applyAlignment="1">
      <alignment/>
      <protection/>
    </xf>
    <xf numFmtId="4" fontId="0" fillId="0" borderId="10" xfId="54" applyNumberFormat="1" applyFont="1" applyBorder="1" applyAlignment="1">
      <alignment horizontal="center"/>
      <protection/>
    </xf>
    <xf numFmtId="175" fontId="0" fillId="0" borderId="10" xfId="54" applyNumberFormat="1" applyBorder="1">
      <alignment/>
      <protection/>
    </xf>
    <xf numFmtId="175" fontId="0" fillId="0" borderId="10" xfId="54" applyNumberFormat="1" applyFont="1" applyBorder="1">
      <alignment/>
      <protection/>
    </xf>
    <xf numFmtId="0" fontId="56" fillId="0" borderId="0" xfId="55" applyFont="1">
      <alignment/>
      <protection/>
    </xf>
    <xf numFmtId="0" fontId="0" fillId="0" borderId="0" xfId="54" applyBorder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22" xfId="54" applyBorder="1">
      <alignment/>
      <protection/>
    </xf>
    <xf numFmtId="4" fontId="45" fillId="0" borderId="10" xfId="53" applyNumberFormat="1" applyFont="1" applyBorder="1" applyAlignment="1">
      <alignment wrapText="1"/>
      <protection/>
    </xf>
    <xf numFmtId="3" fontId="35" fillId="0" borderId="10" xfId="0" applyNumberFormat="1" applyFont="1" applyBorder="1" applyAlignment="1">
      <alignment horizontal="right" vertical="top"/>
    </xf>
    <xf numFmtId="3" fontId="50" fillId="0" borderId="10" xfId="0" applyNumberFormat="1" applyFont="1" applyBorder="1" applyAlignment="1">
      <alignment horizontal="right" vertical="top"/>
    </xf>
    <xf numFmtId="3" fontId="35" fillId="0" borderId="10" xfId="0" applyNumberFormat="1" applyFont="1" applyBorder="1" applyAlignment="1">
      <alignment horizontal="right" vertical="top"/>
    </xf>
    <xf numFmtId="0" fontId="43" fillId="0" borderId="17" xfId="56" applyFont="1" applyBorder="1" applyAlignment="1">
      <alignment vertical="top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19" xfId="52" applyFont="1" applyBorder="1" applyAlignment="1">
      <alignment vertical="center"/>
      <protection/>
    </xf>
    <xf numFmtId="4" fontId="6" fillId="0" borderId="19" xfId="52" applyNumberFormat="1" applyFont="1" applyBorder="1" applyAlignment="1">
      <alignment vertical="center"/>
      <protection/>
    </xf>
    <xf numFmtId="4" fontId="6" fillId="0" borderId="14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horizontal="center" vertical="center" wrapText="1"/>
    </xf>
    <xf numFmtId="0" fontId="43" fillId="0" borderId="19" xfId="56" applyFont="1" applyBorder="1" applyAlignment="1">
      <alignment vertical="top"/>
      <protection/>
    </xf>
    <xf numFmtId="0" fontId="43" fillId="0" borderId="30" xfId="56" applyFont="1" applyBorder="1" applyAlignment="1">
      <alignment horizontal="center"/>
      <protection/>
    </xf>
    <xf numFmtId="0" fontId="43" fillId="0" borderId="30" xfId="56" applyFont="1" applyBorder="1">
      <alignment/>
      <protection/>
    </xf>
    <xf numFmtId="3" fontId="39" fillId="0" borderId="27" xfId="56" applyNumberFormat="1" applyFont="1" applyBorder="1" applyAlignment="1">
      <alignment horizontal="center"/>
      <protection/>
    </xf>
    <xf numFmtId="0" fontId="35" fillId="0" borderId="14" xfId="52" applyFont="1" applyBorder="1" applyAlignment="1">
      <alignment vertical="top"/>
      <protection/>
    </xf>
    <xf numFmtId="0" fontId="40" fillId="0" borderId="20" xfId="56" applyFont="1" applyBorder="1" applyAlignment="1">
      <alignment wrapText="1"/>
      <protection/>
    </xf>
    <xf numFmtId="0" fontId="40" fillId="0" borderId="10" xfId="56" applyFont="1" applyBorder="1" applyAlignment="1">
      <alignment wrapText="1"/>
      <protection/>
    </xf>
    <xf numFmtId="0" fontId="39" fillId="0" borderId="12" xfId="56" applyFont="1" applyBorder="1">
      <alignment/>
      <protection/>
    </xf>
    <xf numFmtId="0" fontId="33" fillId="0" borderId="14" xfId="56" applyFont="1" applyBorder="1">
      <alignment/>
      <protection/>
    </xf>
    <xf numFmtId="4" fontId="39" fillId="0" borderId="0" xfId="56" applyNumberFormat="1" applyFont="1" applyBorder="1" applyAlignment="1">
      <alignment vertical="center"/>
      <protection/>
    </xf>
    <xf numFmtId="4" fontId="39" fillId="0" borderId="0" xfId="56" applyNumberFormat="1" applyFont="1" applyBorder="1">
      <alignment/>
      <protection/>
    </xf>
    <xf numFmtId="4" fontId="39" fillId="0" borderId="0" xfId="56" applyNumberFormat="1" applyFont="1" applyFill="1" applyBorder="1" applyAlignment="1">
      <alignment/>
      <protection/>
    </xf>
    <xf numFmtId="4" fontId="39" fillId="0" borderId="16" xfId="56" applyNumberFormat="1" applyFont="1" applyFill="1" applyBorder="1" applyAlignment="1">
      <alignment/>
      <protection/>
    </xf>
    <xf numFmtId="3" fontId="39" fillId="0" borderId="34" xfId="56" applyNumberFormat="1" applyFont="1" applyBorder="1" applyAlignment="1">
      <alignment/>
      <protection/>
    </xf>
    <xf numFmtId="3" fontId="39" fillId="0" borderId="35" xfId="56" applyNumberFormat="1" applyFont="1" applyBorder="1" applyAlignment="1">
      <alignment/>
      <protection/>
    </xf>
    <xf numFmtId="4" fontId="39" fillId="0" borderId="35" xfId="56" applyNumberFormat="1" applyFont="1" applyBorder="1">
      <alignment/>
      <protection/>
    </xf>
    <xf numFmtId="4" fontId="39" fillId="0" borderId="35" xfId="56" applyNumberFormat="1" applyFont="1" applyBorder="1" applyAlignment="1">
      <alignment vertical="center"/>
      <protection/>
    </xf>
    <xf numFmtId="4" fontId="39" fillId="0" borderId="35" xfId="56" applyNumberFormat="1" applyFont="1" applyBorder="1">
      <alignment/>
      <protection/>
    </xf>
    <xf numFmtId="4" fontId="6" fillId="0" borderId="35" xfId="0" applyNumberFormat="1" applyFont="1" applyBorder="1" applyAlignment="1">
      <alignment/>
    </xf>
    <xf numFmtId="4" fontId="39" fillId="0" borderId="35" xfId="56" applyNumberFormat="1" applyFont="1" applyFill="1" applyBorder="1" applyAlignment="1">
      <alignment/>
      <protection/>
    </xf>
    <xf numFmtId="4" fontId="39" fillId="0" borderId="36" xfId="56" applyNumberFormat="1" applyFont="1" applyFill="1" applyBorder="1" applyAlignment="1">
      <alignment/>
      <protection/>
    </xf>
    <xf numFmtId="4" fontId="6" fillId="0" borderId="0" xfId="0" applyNumberFormat="1" applyFont="1" applyBorder="1" applyAlignment="1">
      <alignment/>
    </xf>
    <xf numFmtId="3" fontId="39" fillId="0" borderId="25" xfId="56" applyNumberFormat="1" applyFont="1" applyBorder="1" applyAlignment="1">
      <alignment/>
      <protection/>
    </xf>
    <xf numFmtId="3" fontId="39" fillId="0" borderId="26" xfId="56" applyNumberFormat="1" applyFont="1" applyBorder="1" applyAlignment="1">
      <alignment/>
      <protection/>
    </xf>
    <xf numFmtId="4" fontId="39" fillId="0" borderId="26" xfId="56" applyNumberFormat="1" applyFont="1" applyBorder="1">
      <alignment/>
      <protection/>
    </xf>
    <xf numFmtId="4" fontId="39" fillId="0" borderId="26" xfId="56" applyNumberFormat="1" applyFont="1" applyBorder="1" applyAlignment="1">
      <alignment vertical="center"/>
      <protection/>
    </xf>
    <xf numFmtId="4" fontId="39" fillId="0" borderId="26" xfId="56" applyNumberFormat="1" applyFont="1" applyBorder="1">
      <alignment/>
      <protection/>
    </xf>
    <xf numFmtId="4" fontId="6" fillId="0" borderId="26" xfId="0" applyNumberFormat="1" applyFont="1" applyBorder="1" applyAlignment="1">
      <alignment/>
    </xf>
    <xf numFmtId="4" fontId="39" fillId="0" borderId="26" xfId="56" applyNumberFormat="1" applyFont="1" applyFill="1" applyBorder="1" applyAlignment="1">
      <alignment/>
      <protection/>
    </xf>
    <xf numFmtId="4" fontId="39" fillId="0" borderId="27" xfId="56" applyNumberFormat="1" applyFont="1" applyFill="1" applyBorder="1" applyAlignment="1">
      <alignment/>
      <protection/>
    </xf>
    <xf numFmtId="4" fontId="6" fillId="0" borderId="12" xfId="0" applyNumberFormat="1" applyFont="1" applyBorder="1" applyAlignment="1">
      <alignment/>
    </xf>
    <xf numFmtId="3" fontId="39" fillId="0" borderId="24" xfId="56" applyNumberFormat="1" applyFont="1" applyBorder="1" applyAlignment="1">
      <alignment/>
      <protection/>
    </xf>
    <xf numFmtId="4" fontId="39" fillId="0" borderId="24" xfId="56" applyNumberFormat="1" applyFont="1" applyBorder="1">
      <alignment/>
      <protection/>
    </xf>
    <xf numFmtId="4" fontId="39" fillId="0" borderId="24" xfId="56" applyNumberFormat="1" applyFont="1" applyBorder="1" applyAlignment="1">
      <alignment vertical="center"/>
      <protection/>
    </xf>
    <xf numFmtId="4" fontId="39" fillId="0" borderId="24" xfId="56" applyNumberFormat="1" applyFont="1" applyBorder="1">
      <alignment/>
      <protection/>
    </xf>
    <xf numFmtId="4" fontId="6" fillId="0" borderId="24" xfId="0" applyNumberFormat="1" applyFont="1" applyBorder="1" applyAlignment="1">
      <alignment/>
    </xf>
    <xf numFmtId="4" fontId="39" fillId="0" borderId="24" xfId="56" applyNumberFormat="1" applyFont="1" applyFill="1" applyBorder="1" applyAlignment="1">
      <alignment/>
      <protection/>
    </xf>
    <xf numFmtId="4" fontId="42" fillId="0" borderId="10" xfId="56" applyNumberFormat="1" applyFont="1" applyBorder="1">
      <alignment/>
      <protection/>
    </xf>
    <xf numFmtId="0" fontId="7" fillId="0" borderId="12" xfId="56" applyFont="1" applyBorder="1" applyAlignment="1">
      <alignment vertical="top" wrapText="1"/>
      <protection/>
    </xf>
    <xf numFmtId="0" fontId="6" fillId="0" borderId="10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57" fillId="0" borderId="0" xfId="0" applyFont="1" applyAlignment="1">
      <alignment horizontal="left" wrapText="1"/>
    </xf>
    <xf numFmtId="4" fontId="36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wrapText="1"/>
    </xf>
    <xf numFmtId="0" fontId="0" fillId="0" borderId="19" xfId="0" applyBorder="1" applyAlignment="1">
      <alignment horizontal="center" wrapText="1"/>
    </xf>
    <xf numFmtId="3" fontId="42" fillId="0" borderId="19" xfId="56" applyNumberFormat="1" applyFont="1" applyBorder="1" applyAlignment="1">
      <alignment horizontal="center" vertical="center"/>
      <protection/>
    </xf>
    <xf numFmtId="3" fontId="42" fillId="0" borderId="16" xfId="56" applyNumberFormat="1" applyFont="1" applyBorder="1" applyAlignment="1">
      <alignment horizontal="center" vertical="center" wrapText="1"/>
      <protection/>
    </xf>
    <xf numFmtId="4" fontId="42" fillId="0" borderId="19" xfId="56" applyNumberFormat="1" applyFont="1" applyBorder="1" applyAlignment="1">
      <alignment vertical="center"/>
      <protection/>
    </xf>
    <xf numFmtId="3" fontId="42" fillId="0" borderId="20" xfId="56" applyNumberFormat="1" applyFont="1" applyBorder="1" applyAlignment="1">
      <alignment horizontal="center" vertical="center"/>
      <protection/>
    </xf>
    <xf numFmtId="3" fontId="42" fillId="0" borderId="37" xfId="56" applyNumberFormat="1" applyFont="1" applyBorder="1" applyAlignment="1">
      <alignment horizontal="center" vertical="center" wrapText="1"/>
      <protection/>
    </xf>
    <xf numFmtId="4" fontId="42" fillId="0" borderId="20" xfId="56" applyNumberFormat="1" applyFont="1" applyBorder="1" applyAlignment="1">
      <alignment vertical="center"/>
      <protection/>
    </xf>
    <xf numFmtId="3" fontId="36" fillId="0" borderId="10" xfId="52" applyNumberFormat="1" applyFont="1" applyBorder="1" applyAlignment="1">
      <alignment horizontal="center" vertical="center"/>
      <protection/>
    </xf>
    <xf numFmtId="3" fontId="36" fillId="0" borderId="10" xfId="52" applyNumberFormat="1" applyFont="1" applyBorder="1" applyAlignment="1">
      <alignment horizontal="center" vertical="center" wrapText="1"/>
      <protection/>
    </xf>
    <xf numFmtId="4" fontId="42" fillId="0" borderId="10" xfId="56" applyNumberFormat="1" applyFont="1" applyBorder="1" applyAlignment="1">
      <alignment vertical="center"/>
      <protection/>
    </xf>
    <xf numFmtId="4" fontId="6" fillId="0" borderId="11" xfId="52" applyNumberFormat="1" applyFont="1" applyBorder="1" applyAlignment="1">
      <alignment vertical="center"/>
      <protection/>
    </xf>
    <xf numFmtId="4" fontId="6" fillId="0" borderId="12" xfId="52" applyNumberFormat="1" applyFont="1" applyBorder="1" applyAlignment="1">
      <alignment vertical="center"/>
      <protection/>
    </xf>
    <xf numFmtId="0" fontId="57" fillId="0" borderId="10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top" wrapText="1"/>
    </xf>
    <xf numFmtId="4" fontId="57" fillId="0" borderId="10" xfId="53" applyNumberFormat="1" applyFont="1" applyBorder="1" applyAlignment="1">
      <alignment vertical="top" wrapText="1"/>
      <protection/>
    </xf>
    <xf numFmtId="0" fontId="57" fillId="0" borderId="10" xfId="0" applyFont="1" applyBorder="1" applyAlignment="1">
      <alignment vertical="top"/>
    </xf>
    <xf numFmtId="0" fontId="57" fillId="0" borderId="10" xfId="0" applyFont="1" applyBorder="1" applyAlignment="1">
      <alignment horizontal="left" vertical="top" wrapText="1"/>
    </xf>
    <xf numFmtId="4" fontId="59" fillId="0" borderId="10" xfId="0" applyNumberFormat="1" applyFont="1" applyBorder="1" applyAlignment="1">
      <alignment horizontal="right" vertical="top" wrapText="1"/>
    </xf>
    <xf numFmtId="4" fontId="60" fillId="0" borderId="10" xfId="0" applyNumberFormat="1" applyFont="1" applyBorder="1" applyAlignment="1">
      <alignment horizontal="right" vertical="top" wrapText="1"/>
    </xf>
    <xf numFmtId="4" fontId="35" fillId="0" borderId="10" xfId="0" applyNumberFormat="1" applyFont="1" applyBorder="1" applyAlignment="1">
      <alignment horizontal="right" vertical="top"/>
    </xf>
    <xf numFmtId="4" fontId="5" fillId="0" borderId="10" xfId="52" applyNumberFormat="1" applyFont="1" applyBorder="1" applyAlignment="1">
      <alignment vertical="center"/>
      <protection/>
    </xf>
    <xf numFmtId="4" fontId="5" fillId="0" borderId="28" xfId="52" applyNumberFormat="1" applyFont="1" applyBorder="1" applyAlignment="1">
      <alignment vertical="center"/>
      <protection/>
    </xf>
    <xf numFmtId="4" fontId="5" fillId="0" borderId="29" xfId="52" applyNumberFormat="1" applyFont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3" fontId="3" fillId="0" borderId="0" xfId="52" applyNumberFormat="1" applyFont="1" applyAlignment="1">
      <alignment vertical="center"/>
      <protection/>
    </xf>
    <xf numFmtId="0" fontId="0" fillId="0" borderId="10" xfId="52" applyFont="1" applyBorder="1" applyAlignment="1">
      <alignment vertical="center"/>
      <protection/>
    </xf>
    <xf numFmtId="3" fontId="0" fillId="0" borderId="29" xfId="52" applyNumberFormat="1" applyBorder="1" applyAlignment="1">
      <alignment vertical="center" wrapText="1"/>
      <protection/>
    </xf>
    <xf numFmtId="0" fontId="6" fillId="0" borderId="12" xfId="55" applyFont="1" applyBorder="1" applyAlignment="1">
      <alignment wrapText="1"/>
      <protection/>
    </xf>
    <xf numFmtId="0" fontId="6" fillId="0" borderId="12" xfId="55" applyFont="1" applyBorder="1" applyAlignment="1">
      <alignment vertical="top" wrapText="1"/>
      <protection/>
    </xf>
    <xf numFmtId="0" fontId="6" fillId="0" borderId="12" xfId="55" applyFont="1" applyBorder="1" applyAlignment="1">
      <alignment horizontal="center" vertical="top" wrapText="1"/>
      <protection/>
    </xf>
    <xf numFmtId="3" fontId="13" fillId="0" borderId="29" xfId="55" applyNumberFormat="1" applyFont="1" applyBorder="1" applyAlignment="1">
      <alignment horizontal="center" vertical="center"/>
      <protection/>
    </xf>
    <xf numFmtId="0" fontId="36" fillId="0" borderId="17" xfId="0" applyFont="1" applyBorder="1" applyAlignment="1">
      <alignment/>
    </xf>
    <xf numFmtId="0" fontId="36" fillId="0" borderId="12" xfId="0" applyFont="1" applyBorder="1" applyAlignment="1">
      <alignment horizontal="left" vertical="top" wrapText="1"/>
    </xf>
    <xf numFmtId="0" fontId="6" fillId="0" borderId="38" xfId="55" applyFont="1" applyBorder="1" applyAlignment="1">
      <alignment vertical="top" wrapText="1"/>
      <protection/>
    </xf>
    <xf numFmtId="0" fontId="6" fillId="0" borderId="38" xfId="55" applyFont="1" applyBorder="1" applyAlignment="1">
      <alignment wrapText="1"/>
      <protection/>
    </xf>
    <xf numFmtId="3" fontId="6" fillId="0" borderId="38" xfId="55" applyNumberFormat="1" applyFont="1" applyBorder="1">
      <alignment/>
      <protection/>
    </xf>
    <xf numFmtId="0" fontId="6" fillId="0" borderId="38" xfId="55" applyFont="1" applyBorder="1" applyAlignment="1">
      <alignment horizontal="center" vertical="top" wrapText="1"/>
      <protection/>
    </xf>
    <xf numFmtId="0" fontId="6" fillId="0" borderId="12" xfId="55" applyFont="1" applyBorder="1" applyAlignment="1">
      <alignment vertical="top" wrapText="1"/>
      <protection/>
    </xf>
    <xf numFmtId="3" fontId="6" fillId="0" borderId="12" xfId="55" applyNumberFormat="1" applyFont="1" applyBorder="1">
      <alignment/>
      <protection/>
    </xf>
    <xf numFmtId="0" fontId="36" fillId="0" borderId="32" xfId="55" applyFont="1" applyBorder="1" applyAlignment="1">
      <alignment wrapText="1"/>
      <protection/>
    </xf>
    <xf numFmtId="0" fontId="36" fillId="0" borderId="12" xfId="55" applyFont="1" applyBorder="1">
      <alignment/>
      <protection/>
    </xf>
    <xf numFmtId="3" fontId="36" fillId="0" borderId="12" xfId="55" applyNumberFormat="1" applyFont="1" applyBorder="1">
      <alignment/>
      <protection/>
    </xf>
    <xf numFmtId="49" fontId="37" fillId="0" borderId="12" xfId="55" applyNumberFormat="1" applyFont="1" applyBorder="1">
      <alignment/>
      <protection/>
    </xf>
    <xf numFmtId="0" fontId="36" fillId="0" borderId="12" xfId="55" applyFont="1" applyBorder="1" applyAlignment="1">
      <alignment vertical="center" wrapText="1"/>
      <protection/>
    </xf>
    <xf numFmtId="0" fontId="1" fillId="20" borderId="21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" fillId="20" borderId="30" xfId="0" applyFont="1" applyFill="1" applyBorder="1" applyAlignment="1">
      <alignment horizontal="center" vertical="center"/>
    </xf>
    <xf numFmtId="0" fontId="35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wrapText="1"/>
    </xf>
    <xf numFmtId="0" fontId="1" fillId="20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9" fontId="50" fillId="20" borderId="11" xfId="0" applyNumberFormat="1" applyFont="1" applyFill="1" applyBorder="1" applyAlignment="1">
      <alignment horizontal="center" vertical="center" wrapText="1"/>
    </xf>
    <xf numFmtId="0" fontId="35" fillId="0" borderId="19" xfId="0" applyFont="1" applyBorder="1" applyAlignment="1">
      <alignment/>
    </xf>
    <xf numFmtId="0" fontId="35" fillId="0" borderId="30" xfId="0" applyFont="1" applyBorder="1" applyAlignment="1">
      <alignment/>
    </xf>
    <xf numFmtId="44" fontId="3" fillId="0" borderId="28" xfId="65" applyFont="1" applyBorder="1" applyAlignment="1">
      <alignment horizontal="center" vertical="center"/>
    </xf>
    <xf numFmtId="44" fontId="3" fillId="0" borderId="39" xfId="65" applyFont="1" applyBorder="1" applyAlignment="1">
      <alignment horizontal="center" vertical="center"/>
    </xf>
    <xf numFmtId="44" fontId="3" fillId="0" borderId="29" xfId="65" applyFont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center" wrapText="1"/>
    </xf>
    <xf numFmtId="0" fontId="6" fillId="20" borderId="23" xfId="0" applyFont="1" applyFill="1" applyBorder="1" applyAlignment="1">
      <alignment horizontal="center" vertical="center" wrapText="1"/>
    </xf>
    <xf numFmtId="0" fontId="6" fillId="20" borderId="25" xfId="0" applyFont="1" applyFill="1" applyBorder="1" applyAlignment="1">
      <alignment horizontal="center" vertical="center" wrapText="1"/>
    </xf>
    <xf numFmtId="0" fontId="6" fillId="20" borderId="26" xfId="0" applyFont="1" applyFill="1" applyBorder="1" applyAlignment="1">
      <alignment horizontal="center" vertical="center" wrapText="1"/>
    </xf>
    <xf numFmtId="0" fontId="6" fillId="20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0" borderId="3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0" borderId="10" xfId="0" applyFont="1" applyFill="1" applyBorder="1" applyAlignment="1">
      <alignment horizontal="center" wrapText="1"/>
    </xf>
    <xf numFmtId="0" fontId="34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0" borderId="28" xfId="0" applyFont="1" applyFill="1" applyBorder="1" applyAlignment="1">
      <alignment horizontal="center" vertical="center" wrapText="1"/>
    </xf>
    <xf numFmtId="0" fontId="3" fillId="20" borderId="29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center" vertical="center" wrapText="1"/>
    </xf>
    <xf numFmtId="0" fontId="3" fillId="20" borderId="3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/>
    </xf>
    <xf numFmtId="0" fontId="3" fillId="20" borderId="23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25" xfId="0" applyFont="1" applyFill="1" applyBorder="1" applyAlignment="1">
      <alignment horizontal="center" vertical="center"/>
    </xf>
    <xf numFmtId="0" fontId="3" fillId="2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3" fillId="0" borderId="28" xfId="52" applyFont="1" applyBorder="1" applyAlignment="1">
      <alignment horizontal="center" vertical="center"/>
      <protection/>
    </xf>
    <xf numFmtId="0" fontId="13" fillId="0" borderId="29" xfId="52" applyFont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3" fillId="20" borderId="10" xfId="52" applyFont="1" applyFill="1" applyBorder="1" applyAlignment="1">
      <alignment horizontal="center" vertical="center"/>
      <protection/>
    </xf>
    <xf numFmtId="0" fontId="3" fillId="20" borderId="10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13" fillId="20" borderId="10" xfId="52" applyFont="1" applyFill="1" applyBorder="1" applyAlignment="1">
      <alignment horizontal="center" vertical="center"/>
      <protection/>
    </xf>
    <xf numFmtId="0" fontId="13" fillId="20" borderId="10" xfId="52" applyFont="1" applyFill="1" applyBorder="1" applyAlignment="1">
      <alignment horizontal="center" vertical="center" wrapText="1"/>
      <protection/>
    </xf>
    <xf numFmtId="0" fontId="13" fillId="20" borderId="11" xfId="52" applyFont="1" applyFill="1" applyBorder="1" applyAlignment="1">
      <alignment horizontal="center" vertical="center" wrapText="1"/>
      <protection/>
    </xf>
    <xf numFmtId="0" fontId="13" fillId="20" borderId="19" xfId="52" applyFont="1" applyFill="1" applyBorder="1" applyAlignment="1">
      <alignment horizontal="center" vertical="center" wrapText="1"/>
      <protection/>
    </xf>
    <xf numFmtId="0" fontId="13" fillId="20" borderId="30" xfId="52" applyFont="1" applyFill="1" applyBorder="1" applyAlignment="1">
      <alignment horizontal="center" vertical="center" wrapText="1"/>
      <protection/>
    </xf>
    <xf numFmtId="0" fontId="0" fillId="0" borderId="19" xfId="52" applyBorder="1" applyAlignment="1">
      <alignment horizontal="center" vertical="center" wrapText="1"/>
      <protection/>
    </xf>
    <xf numFmtId="0" fontId="0" fillId="0" borderId="30" xfId="52" applyBorder="1" applyAlignment="1">
      <alignment horizontal="center" vertical="center" wrapText="1"/>
      <protection/>
    </xf>
    <xf numFmtId="0" fontId="36" fillId="0" borderId="10" xfId="52" applyFont="1" applyBorder="1" applyAlignment="1">
      <alignment horizontal="left" vertical="center"/>
      <protection/>
    </xf>
    <xf numFmtId="0" fontId="36" fillId="20" borderId="10" xfId="52" applyFont="1" applyFill="1" applyBorder="1" applyAlignment="1">
      <alignment horizontal="center" vertical="center" wrapText="1"/>
      <protection/>
    </xf>
    <xf numFmtId="0" fontId="42" fillId="20" borderId="10" xfId="56" applyFont="1" applyFill="1" applyBorder="1" applyAlignment="1">
      <alignment horizontal="center" vertical="center"/>
      <protection/>
    </xf>
    <xf numFmtId="0" fontId="42" fillId="20" borderId="10" xfId="56" applyFont="1" applyFill="1" applyBorder="1" applyAlignment="1">
      <alignment horizontal="center" vertical="center" wrapText="1"/>
      <protection/>
    </xf>
    <xf numFmtId="0" fontId="47" fillId="0" borderId="0" xfId="56" applyFont="1" applyAlignment="1">
      <alignment horizontal="left"/>
      <protection/>
    </xf>
    <xf numFmtId="0" fontId="43" fillId="0" borderId="14" xfId="56" applyFont="1" applyBorder="1" applyAlignment="1">
      <alignment horizontal="center" vertical="center"/>
      <protection/>
    </xf>
    <xf numFmtId="0" fontId="43" fillId="0" borderId="12" xfId="56" applyFont="1" applyBorder="1" applyAlignment="1">
      <alignment horizontal="center" vertical="center"/>
      <protection/>
    </xf>
    <xf numFmtId="0" fontId="40" fillId="0" borderId="10" xfId="56" applyFont="1" applyBorder="1" applyAlignment="1">
      <alignment horizontal="center"/>
      <protection/>
    </xf>
    <xf numFmtId="3" fontId="39" fillId="0" borderId="40" xfId="56" applyNumberFormat="1" applyFont="1" applyBorder="1" applyAlignment="1">
      <alignment horizontal="center"/>
      <protection/>
    </xf>
    <xf numFmtId="3" fontId="39" fillId="0" borderId="41" xfId="56" applyNumberFormat="1" applyFont="1" applyBorder="1" applyAlignment="1">
      <alignment horizontal="center"/>
      <protection/>
    </xf>
    <xf numFmtId="3" fontId="39" fillId="0" borderId="42" xfId="56" applyNumberFormat="1" applyFont="1" applyBorder="1" applyAlignment="1">
      <alignment horizontal="center"/>
      <protection/>
    </xf>
    <xf numFmtId="0" fontId="43" fillId="0" borderId="19" xfId="56" applyFont="1" applyBorder="1" applyAlignment="1">
      <alignment horizontal="center" vertical="center"/>
      <protection/>
    </xf>
    <xf numFmtId="0" fontId="43" fillId="0" borderId="17" xfId="56" applyFont="1" applyBorder="1" applyAlignment="1">
      <alignment horizontal="center" vertical="center"/>
      <protection/>
    </xf>
    <xf numFmtId="0" fontId="39" fillId="0" borderId="19" xfId="56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10" fillId="0" borderId="0" xfId="56" applyFont="1" applyAlignment="1">
      <alignment horizontal="center" wrapText="1"/>
      <protection/>
    </xf>
    <xf numFmtId="3" fontId="42" fillId="0" borderId="28" xfId="56" applyNumberFormat="1" applyFont="1" applyBorder="1" applyAlignment="1">
      <alignment horizontal="center"/>
      <protection/>
    </xf>
    <xf numFmtId="3" fontId="42" fillId="0" borderId="29" xfId="56" applyNumberFormat="1" applyFont="1" applyBorder="1" applyAlignment="1">
      <alignment horizontal="center"/>
      <protection/>
    </xf>
    <xf numFmtId="3" fontId="39" fillId="0" borderId="43" xfId="56" applyNumberFormat="1" applyFont="1" applyBorder="1" applyAlignment="1">
      <alignment horizontal="center"/>
      <protection/>
    </xf>
    <xf numFmtId="3" fontId="39" fillId="0" borderId="44" xfId="56" applyNumberFormat="1" applyFont="1" applyBorder="1" applyAlignment="1">
      <alignment horizontal="center"/>
      <protection/>
    </xf>
    <xf numFmtId="3" fontId="39" fillId="0" borderId="45" xfId="56" applyNumberFormat="1" applyFont="1" applyBorder="1" applyAlignment="1">
      <alignment horizontal="center"/>
      <protection/>
    </xf>
    <xf numFmtId="3" fontId="39" fillId="0" borderId="46" xfId="56" applyNumberFormat="1" applyFont="1" applyBorder="1" applyAlignment="1">
      <alignment horizontal="center"/>
      <protection/>
    </xf>
    <xf numFmtId="3" fontId="39" fillId="0" borderId="18" xfId="56" applyNumberFormat="1" applyFont="1" applyBorder="1" applyAlignment="1">
      <alignment horizontal="center"/>
      <protection/>
    </xf>
    <xf numFmtId="3" fontId="39" fillId="0" borderId="47" xfId="56" applyNumberFormat="1" applyFont="1" applyBorder="1" applyAlignment="1">
      <alignment horizontal="center"/>
      <protection/>
    </xf>
    <xf numFmtId="3" fontId="39" fillId="0" borderId="34" xfId="56" applyNumberFormat="1" applyFont="1" applyBorder="1" applyAlignment="1">
      <alignment horizontal="center"/>
      <protection/>
    </xf>
    <xf numFmtId="3" fontId="42" fillId="0" borderId="13" xfId="56" applyNumberFormat="1" applyFont="1" applyBorder="1" applyAlignment="1">
      <alignment horizontal="center"/>
      <protection/>
    </xf>
    <xf numFmtId="3" fontId="39" fillId="0" borderId="35" xfId="56" applyNumberFormat="1" applyFont="1" applyBorder="1" applyAlignment="1">
      <alignment horizontal="center"/>
      <protection/>
    </xf>
    <xf numFmtId="3" fontId="39" fillId="0" borderId="36" xfId="56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left" vertical="center"/>
      <protection/>
    </xf>
    <xf numFmtId="0" fontId="1" fillId="0" borderId="28" xfId="52" applyFont="1" applyBorder="1" applyAlignment="1">
      <alignment horizontal="center" vertical="center"/>
      <protection/>
    </xf>
    <xf numFmtId="0" fontId="0" fillId="0" borderId="29" xfId="52" applyBorder="1" applyAlignment="1">
      <alignment horizontal="center" vertical="center"/>
      <protection/>
    </xf>
    <xf numFmtId="0" fontId="13" fillId="20" borderId="21" xfId="52" applyFont="1" applyFill="1" applyBorder="1" applyAlignment="1">
      <alignment horizontal="center" vertical="center" wrapText="1"/>
      <protection/>
    </xf>
    <xf numFmtId="0" fontId="5" fillId="0" borderId="23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25" xfId="52" applyFont="1" applyBorder="1" applyAlignment="1">
      <alignment horizontal="center" vertical="center" wrapText="1"/>
      <protection/>
    </xf>
    <xf numFmtId="0" fontId="5" fillId="0" borderId="27" xfId="52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28" xfId="54" applyFont="1" applyBorder="1" applyAlignment="1">
      <alignment wrapText="1"/>
      <protection/>
    </xf>
    <xf numFmtId="0" fontId="7" fillId="0" borderId="29" xfId="55" applyBorder="1" applyAlignment="1">
      <alignment wrapText="1"/>
      <protection/>
    </xf>
    <xf numFmtId="0" fontId="3" fillId="0" borderId="28" xfId="54" applyFont="1" applyBorder="1" applyAlignment="1">
      <alignment vertical="top" wrapText="1"/>
      <protection/>
    </xf>
    <xf numFmtId="0" fontId="10" fillId="0" borderId="29" xfId="55" applyFont="1" applyBorder="1" applyAlignment="1">
      <alignment vertical="top" wrapText="1"/>
      <protection/>
    </xf>
    <xf numFmtId="0" fontId="3" fillId="0" borderId="10" xfId="54" applyFont="1" applyBorder="1" applyAlignment="1">
      <alignment/>
      <protection/>
    </xf>
    <xf numFmtId="0" fontId="4" fillId="0" borderId="28" xfId="54" applyFont="1" applyBorder="1" applyAlignment="1">
      <alignment horizontal="center" vertical="center"/>
      <protection/>
    </xf>
    <xf numFmtId="0" fontId="4" fillId="0" borderId="29" xfId="54" applyFont="1" applyBorder="1" applyAlignment="1">
      <alignment horizontal="center" vertical="center"/>
      <protection/>
    </xf>
    <xf numFmtId="0" fontId="3" fillId="0" borderId="28" xfId="54" applyFont="1" applyBorder="1" applyAlignment="1">
      <alignment vertical="top"/>
      <protection/>
    </xf>
    <xf numFmtId="0" fontId="10" fillId="0" borderId="29" xfId="55" applyFont="1" applyBorder="1" applyAlignment="1">
      <alignment/>
      <protection/>
    </xf>
    <xf numFmtId="0" fontId="10" fillId="0" borderId="29" xfId="55" applyFont="1" applyBorder="1" applyAlignment="1">
      <alignment wrapText="1"/>
      <protection/>
    </xf>
    <xf numFmtId="0" fontId="3" fillId="0" borderId="28" xfId="54" applyFont="1" applyBorder="1" applyAlignment="1">
      <alignment/>
      <protection/>
    </xf>
    <xf numFmtId="0" fontId="0" fillId="0" borderId="29" xfId="54" applyBorder="1" applyAlignment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22" xfId="54" applyBorder="1" applyAlignment="1">
      <alignment/>
      <protection/>
    </xf>
    <xf numFmtId="0" fontId="3" fillId="0" borderId="10" xfId="54" applyFont="1" applyBorder="1" applyAlignment="1">
      <alignment wrapText="1"/>
      <protection/>
    </xf>
    <xf numFmtId="0" fontId="0" fillId="0" borderId="10" xfId="54" applyFont="1" applyBorder="1" applyAlignment="1">
      <alignment wrapText="1"/>
      <protection/>
    </xf>
    <xf numFmtId="0" fontId="0" fillId="0" borderId="29" xfId="54" applyFont="1" applyBorder="1" applyAlignment="1">
      <alignment wrapText="1"/>
      <protection/>
    </xf>
    <xf numFmtId="0" fontId="4" fillId="0" borderId="0" xfId="55" applyFont="1" applyAlignment="1">
      <alignment horizontal="center" vertical="center" wrapText="1"/>
      <protection/>
    </xf>
    <xf numFmtId="0" fontId="3" fillId="20" borderId="10" xfId="55" applyFont="1" applyFill="1" applyBorder="1" applyAlignment="1">
      <alignment horizontal="center" vertical="center"/>
      <protection/>
    </xf>
    <xf numFmtId="0" fontId="3" fillId="20" borderId="10" xfId="55" applyFont="1" applyFill="1" applyBorder="1" applyAlignment="1">
      <alignment horizontal="center" vertical="center" wrapText="1"/>
      <protection/>
    </xf>
    <xf numFmtId="0" fontId="3" fillId="20" borderId="21" xfId="55" applyFont="1" applyFill="1" applyBorder="1" applyAlignment="1">
      <alignment horizontal="center" vertical="center" wrapText="1"/>
      <protection/>
    </xf>
    <xf numFmtId="0" fontId="7" fillId="0" borderId="22" xfId="55" applyBorder="1" applyAlignment="1">
      <alignment horizontal="center" vertical="center" wrapText="1"/>
      <protection/>
    </xf>
    <xf numFmtId="0" fontId="7" fillId="0" borderId="23" xfId="55" applyBorder="1" applyAlignment="1">
      <alignment horizontal="center" vertical="center" wrapText="1"/>
      <protection/>
    </xf>
    <xf numFmtId="0" fontId="7" fillId="0" borderId="25" xfId="55" applyBorder="1" applyAlignment="1">
      <alignment horizontal="center" vertical="center" wrapText="1"/>
      <protection/>
    </xf>
    <xf numFmtId="0" fontId="7" fillId="0" borderId="26" xfId="55" applyBorder="1" applyAlignment="1">
      <alignment horizontal="center" vertical="center" wrapText="1"/>
      <protection/>
    </xf>
    <xf numFmtId="0" fontId="7" fillId="0" borderId="27" xfId="55" applyBorder="1" applyAlignment="1">
      <alignment horizontal="center" vertical="center" wrapText="1"/>
      <protection/>
    </xf>
    <xf numFmtId="0" fontId="3" fillId="20" borderId="11" xfId="55" applyFont="1" applyFill="1" applyBorder="1" applyAlignment="1">
      <alignment horizontal="center" vertical="center" wrapText="1"/>
      <protection/>
    </xf>
    <xf numFmtId="0" fontId="7" fillId="0" borderId="19" xfId="55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0" fillId="20" borderId="11" xfId="55" applyFont="1" applyFill="1" applyBorder="1" applyAlignment="1">
      <alignment horizontal="center" vertical="center" wrapText="1"/>
      <protection/>
    </xf>
    <xf numFmtId="0" fontId="35" fillId="0" borderId="30" xfId="0" applyFont="1" applyBorder="1" applyAlignment="1">
      <alignment horizontal="center" vertical="center" wrapText="1"/>
    </xf>
    <xf numFmtId="0" fontId="50" fillId="20" borderId="21" xfId="55" applyFont="1" applyFill="1" applyBorder="1" applyAlignment="1">
      <alignment horizontal="center" vertical="center" wrapText="1"/>
      <protection/>
    </xf>
    <xf numFmtId="0" fontId="35" fillId="0" borderId="25" xfId="0" applyFont="1" applyBorder="1" applyAlignment="1">
      <alignment horizontal="center" vertical="center" wrapText="1"/>
    </xf>
    <xf numFmtId="0" fontId="40" fillId="20" borderId="11" xfId="55" applyFont="1" applyFill="1" applyBorder="1" applyAlignment="1">
      <alignment horizontal="center" vertical="center" wrapText="1"/>
      <protection/>
    </xf>
    <xf numFmtId="0" fontId="50" fillId="0" borderId="30" xfId="0" applyFont="1" applyBorder="1" applyAlignment="1">
      <alignment horizontal="center" vertical="center" wrapText="1"/>
    </xf>
    <xf numFmtId="0" fontId="13" fillId="0" borderId="28" xfId="55" applyFont="1" applyBorder="1" applyAlignment="1">
      <alignment horizontal="center" vertical="center"/>
      <protection/>
    </xf>
    <xf numFmtId="0" fontId="13" fillId="0" borderId="39" xfId="55" applyFont="1" applyBorder="1" applyAlignment="1">
      <alignment horizontal="center" vertical="center"/>
      <protection/>
    </xf>
    <xf numFmtId="0" fontId="13" fillId="0" borderId="29" xfId="55" applyFont="1" applyBorder="1" applyAlignment="1">
      <alignment horizontal="center" vertical="center"/>
      <protection/>
    </xf>
    <xf numFmtId="0" fontId="13" fillId="0" borderId="48" xfId="55" applyFont="1" applyBorder="1" applyAlignment="1">
      <alignment wrapText="1"/>
      <protection/>
    </xf>
    <xf numFmtId="0" fontId="13" fillId="0" borderId="49" xfId="55" applyFont="1" applyBorder="1" applyAlignment="1">
      <alignment wrapText="1"/>
      <protection/>
    </xf>
    <xf numFmtId="0" fontId="13" fillId="0" borderId="50" xfId="55" applyFont="1" applyBorder="1" applyAlignment="1">
      <alignment wrapText="1"/>
      <protection/>
    </xf>
    <xf numFmtId="0" fontId="36" fillId="0" borderId="51" xfId="55" applyFont="1" applyBorder="1" applyAlignment="1">
      <alignment wrapText="1"/>
      <protection/>
    </xf>
    <xf numFmtId="0" fontId="36" fillId="0" borderId="31" xfId="55" applyFont="1" applyBorder="1" applyAlignment="1">
      <alignment wrapText="1"/>
      <protection/>
    </xf>
    <xf numFmtId="0" fontId="6" fillId="0" borderId="12" xfId="55" applyFont="1" applyBorder="1" applyAlignment="1">
      <alignment horizontal="center" vertical="top" wrapText="1"/>
      <protection/>
    </xf>
    <xf numFmtId="0" fontId="6" fillId="0" borderId="12" xfId="55" applyFont="1" applyBorder="1" applyAlignment="1">
      <alignment vertical="top" wrapText="1"/>
      <protection/>
    </xf>
    <xf numFmtId="0" fontId="6" fillId="0" borderId="12" xfId="55" applyFont="1" applyBorder="1" applyAlignment="1">
      <alignment vertical="top" wrapText="1"/>
      <protection/>
    </xf>
    <xf numFmtId="0" fontId="39" fillId="0" borderId="17" xfId="55" applyFont="1" applyBorder="1" applyAlignment="1">
      <alignment horizontal="center" vertical="top"/>
      <protection/>
    </xf>
    <xf numFmtId="0" fontId="39" fillId="0" borderId="14" xfId="55" applyFont="1" applyBorder="1" applyAlignment="1">
      <alignment horizontal="center" vertical="top"/>
      <protection/>
    </xf>
    <xf numFmtId="0" fontId="6" fillId="0" borderId="17" xfId="55" applyFont="1" applyBorder="1" applyAlignment="1">
      <alignment/>
      <protection/>
    </xf>
    <xf numFmtId="0" fontId="6" fillId="0" borderId="14" xfId="55" applyFont="1" applyBorder="1" applyAlignment="1">
      <alignment/>
      <protection/>
    </xf>
    <xf numFmtId="0" fontId="3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" fillId="20" borderId="11" xfId="0" applyFont="1" applyFill="1" applyBorder="1" applyAlignment="1">
      <alignment horizontal="center" vertical="center" wrapText="1"/>
    </xf>
    <xf numFmtId="0" fontId="3" fillId="20" borderId="30" xfId="0" applyFont="1" applyFill="1" applyBorder="1" applyAlignment="1">
      <alignment horizontal="center" vertical="center" wrapText="1"/>
    </xf>
    <xf numFmtId="0" fontId="3" fillId="20" borderId="28" xfId="0" applyFont="1" applyFill="1" applyBorder="1" applyAlignment="1">
      <alignment horizontal="center" vertical="center"/>
    </xf>
    <xf numFmtId="0" fontId="3" fillId="20" borderId="39" xfId="0" applyFont="1" applyFill="1" applyBorder="1" applyAlignment="1">
      <alignment horizontal="center" vertical="center"/>
    </xf>
    <xf numFmtId="0" fontId="3" fillId="20" borderId="29" xfId="0" applyFont="1" applyFill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żet_2010_zał_Projekt" xfId="52"/>
    <cellStyle name="Normalny_Dochody 2005" xfId="53"/>
    <cellStyle name="Normalny_Porgnoza długu 2010" xfId="54"/>
    <cellStyle name="Normalny_Wydatki Gminy_2010" xfId="55"/>
    <cellStyle name="Normalny_zal_Szczecin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workbookViewId="0" topLeftCell="A73">
      <selection activeCell="D82" sqref="D82"/>
    </sheetView>
  </sheetViews>
  <sheetFormatPr defaultColWidth="9.00390625" defaultRowHeight="12.75"/>
  <cols>
    <col min="1" max="1" width="5.75390625" style="24" customWidth="1"/>
    <col min="2" max="2" width="7.00390625" style="25" customWidth="1"/>
    <col min="3" max="3" width="22.125" style="24" customWidth="1"/>
    <col min="4" max="4" width="10.375" style="24" customWidth="1"/>
    <col min="5" max="5" width="10.125" style="24" customWidth="1"/>
    <col min="6" max="6" width="9.875" style="24" customWidth="1"/>
    <col min="7" max="7" width="9.125" style="24" customWidth="1"/>
    <col min="8" max="8" width="8.625" style="24" customWidth="1"/>
    <col min="9" max="9" width="8.00390625" style="24" customWidth="1"/>
    <col min="10" max="10" width="9.25390625" style="24" bestFit="1" customWidth="1"/>
    <col min="11" max="11" width="9.375" style="24" customWidth="1"/>
    <col min="12" max="13" width="8.875" style="24" customWidth="1"/>
    <col min="14" max="14" width="7.875" style="24" customWidth="1"/>
    <col min="15" max="15" width="8.875" style="24" customWidth="1"/>
    <col min="16" max="16384" width="9.125" style="24" customWidth="1"/>
  </cols>
  <sheetData>
    <row r="1" spans="12:14" ht="11.25">
      <c r="L1" s="512" t="s">
        <v>227</v>
      </c>
      <c r="M1" s="512"/>
      <c r="N1" s="451"/>
    </row>
    <row r="2" spans="1:15" ht="15.75">
      <c r="A2" s="526" t="s">
        <v>222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</row>
    <row r="4" spans="1:15" ht="11.25">
      <c r="A4" s="519" t="s">
        <v>2</v>
      </c>
      <c r="B4" s="513" t="s">
        <v>543</v>
      </c>
      <c r="C4" s="519" t="s">
        <v>51</v>
      </c>
      <c r="D4" s="519" t="s">
        <v>165</v>
      </c>
      <c r="E4" s="519" t="s">
        <v>166</v>
      </c>
      <c r="F4" s="519"/>
      <c r="G4" s="519"/>
      <c r="H4" s="519"/>
      <c r="I4" s="519"/>
      <c r="J4" s="519"/>
      <c r="K4" s="519"/>
      <c r="L4" s="519"/>
      <c r="M4" s="519"/>
      <c r="N4" s="519"/>
      <c r="O4" s="519"/>
    </row>
    <row r="5" spans="1:15" ht="11.25" customHeight="1">
      <c r="A5" s="519"/>
      <c r="B5" s="514"/>
      <c r="C5" s="519"/>
      <c r="D5" s="519"/>
      <c r="E5" s="519" t="s">
        <v>167</v>
      </c>
      <c r="F5" s="520" t="s">
        <v>6</v>
      </c>
      <c r="G5" s="521"/>
      <c r="H5" s="521"/>
      <c r="I5" s="521"/>
      <c r="J5" s="522"/>
      <c r="K5" s="519" t="s">
        <v>168</v>
      </c>
      <c r="L5" s="520" t="s">
        <v>6</v>
      </c>
      <c r="M5" s="521"/>
      <c r="N5" s="521"/>
      <c r="O5" s="522"/>
    </row>
    <row r="6" spans="1:15" ht="3.75" customHeight="1" hidden="1">
      <c r="A6" s="519"/>
      <c r="B6" s="514"/>
      <c r="C6" s="519"/>
      <c r="D6" s="519"/>
      <c r="E6" s="519"/>
      <c r="F6" s="523"/>
      <c r="G6" s="524"/>
      <c r="H6" s="524"/>
      <c r="I6" s="524"/>
      <c r="J6" s="525"/>
      <c r="K6" s="519"/>
      <c r="L6" s="523"/>
      <c r="M6" s="524"/>
      <c r="N6" s="524"/>
      <c r="O6" s="525"/>
    </row>
    <row r="7" spans="1:15" ht="93" customHeight="1">
      <c r="A7" s="519"/>
      <c r="B7" s="515"/>
      <c r="C7" s="519"/>
      <c r="D7" s="519"/>
      <c r="E7" s="519"/>
      <c r="F7" s="46" t="s">
        <v>169</v>
      </c>
      <c r="G7" s="46" t="s">
        <v>170</v>
      </c>
      <c r="H7" s="46" t="s">
        <v>171</v>
      </c>
      <c r="I7" s="46" t="s">
        <v>172</v>
      </c>
      <c r="J7" s="46" t="s">
        <v>173</v>
      </c>
      <c r="K7" s="519"/>
      <c r="L7" s="46" t="s">
        <v>174</v>
      </c>
      <c r="M7" s="46" t="s">
        <v>175</v>
      </c>
      <c r="N7" s="46" t="s">
        <v>542</v>
      </c>
      <c r="O7" s="46" t="s">
        <v>176</v>
      </c>
    </row>
    <row r="8" spans="1:15" s="27" customFormat="1" ht="9.75">
      <c r="A8" s="23">
        <v>1</v>
      </c>
      <c r="B8" s="26" t="s">
        <v>177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/>
      <c r="O8" s="23">
        <v>14</v>
      </c>
    </row>
    <row r="9" spans="1:15" ht="33.75">
      <c r="A9" s="28" t="s">
        <v>60</v>
      </c>
      <c r="B9" s="28"/>
      <c r="C9" s="14" t="s">
        <v>61</v>
      </c>
      <c r="D9" s="346">
        <f aca="true" t="shared" si="0" ref="D9:D18">SUM(E9,K9)</f>
        <v>7056451</v>
      </c>
      <c r="E9" s="346">
        <f aca="true" t="shared" si="1" ref="E9:E18">SUM(F9:J9)</f>
        <v>0</v>
      </c>
      <c r="F9" s="346">
        <f>SUM(F10)</f>
        <v>0</v>
      </c>
      <c r="G9" s="346">
        <f>SUM(H10)</f>
        <v>0</v>
      </c>
      <c r="H9" s="346">
        <f>SUM(I11:I11)</f>
        <v>0</v>
      </c>
      <c r="I9" s="346">
        <f>SUM(J11:J11)</f>
        <v>0</v>
      </c>
      <c r="J9" s="346">
        <f>SUM(J11)</f>
        <v>0</v>
      </c>
      <c r="K9" s="346">
        <f>SUM(L9:O9)</f>
        <v>7056451</v>
      </c>
      <c r="L9" s="346"/>
      <c r="M9" s="346"/>
      <c r="N9" s="346"/>
      <c r="O9" s="346">
        <f>SUM(O10)</f>
        <v>7056451</v>
      </c>
    </row>
    <row r="10" spans="1:15" ht="11.25">
      <c r="A10" s="28"/>
      <c r="B10" s="59" t="s">
        <v>225</v>
      </c>
      <c r="C10" s="57" t="s">
        <v>62</v>
      </c>
      <c r="D10" s="346">
        <f t="shared" si="0"/>
        <v>7056451</v>
      </c>
      <c r="E10" s="346">
        <f t="shared" si="1"/>
        <v>0</v>
      </c>
      <c r="F10" s="346">
        <f>SUM(F11:F11)</f>
        <v>0</v>
      </c>
      <c r="G10" s="346"/>
      <c r="H10" s="346"/>
      <c r="I10" s="346"/>
      <c r="J10" s="346"/>
      <c r="K10" s="346">
        <f>SUM(L10:O10)</f>
        <v>7056451</v>
      </c>
      <c r="L10" s="346"/>
      <c r="M10" s="346"/>
      <c r="N10" s="346"/>
      <c r="O10" s="346">
        <v>7056451</v>
      </c>
    </row>
    <row r="11" spans="1:15" ht="12" customHeight="1">
      <c r="A11" s="29"/>
      <c r="B11" s="29" t="s">
        <v>229</v>
      </c>
      <c r="C11" s="16" t="s">
        <v>230</v>
      </c>
      <c r="D11" s="347">
        <f t="shared" si="0"/>
        <v>7056451</v>
      </c>
      <c r="E11" s="347">
        <f t="shared" si="1"/>
        <v>0</v>
      </c>
      <c r="F11" s="347"/>
      <c r="G11" s="347"/>
      <c r="H11" s="347"/>
      <c r="I11" s="347"/>
      <c r="J11" s="347"/>
      <c r="K11" s="347">
        <f>SUM(L11:O11)</f>
        <v>7056451</v>
      </c>
      <c r="L11" s="347"/>
      <c r="M11" s="347"/>
      <c r="N11" s="347"/>
      <c r="O11" s="347">
        <v>7056451</v>
      </c>
    </row>
    <row r="12" spans="1:15" ht="11.25">
      <c r="A12" s="58">
        <v>600</v>
      </c>
      <c r="B12" s="29" t="s">
        <v>227</v>
      </c>
      <c r="C12" s="57" t="s">
        <v>228</v>
      </c>
      <c r="D12" s="346">
        <f t="shared" si="0"/>
        <v>5780436</v>
      </c>
      <c r="E12" s="346">
        <f t="shared" si="1"/>
        <v>555800</v>
      </c>
      <c r="F12" s="346">
        <f>SUM(F13,F17)</f>
        <v>555800</v>
      </c>
      <c r="G12" s="346">
        <f aca="true" t="shared" si="2" ref="G12:M12">SUM(G13)</f>
        <v>0</v>
      </c>
      <c r="H12" s="346">
        <f t="shared" si="2"/>
        <v>0</v>
      </c>
      <c r="I12" s="346">
        <f t="shared" si="2"/>
        <v>0</v>
      </c>
      <c r="J12" s="346">
        <f t="shared" si="2"/>
        <v>0</v>
      </c>
      <c r="K12" s="346">
        <f>SUM(L12:O12)</f>
        <v>5224636</v>
      </c>
      <c r="L12" s="346">
        <f t="shared" si="2"/>
        <v>0</v>
      </c>
      <c r="M12" s="346">
        <f t="shared" si="2"/>
        <v>0</v>
      </c>
      <c r="N12" s="346"/>
      <c r="O12" s="346">
        <f>SUM(O13,O17)</f>
        <v>5224636</v>
      </c>
    </row>
    <row r="13" spans="1:15" ht="24.75" customHeight="1">
      <c r="A13" s="30"/>
      <c r="B13" s="59" t="s">
        <v>226</v>
      </c>
      <c r="C13" s="57" t="s">
        <v>383</v>
      </c>
      <c r="D13" s="348">
        <f t="shared" si="0"/>
        <v>555800</v>
      </c>
      <c r="E13" s="346">
        <f t="shared" si="1"/>
        <v>555800</v>
      </c>
      <c r="F13" s="346">
        <f>SUM(F14:F16)</f>
        <v>555800</v>
      </c>
      <c r="G13" s="349"/>
      <c r="H13" s="349"/>
      <c r="I13" s="349"/>
      <c r="J13" s="349"/>
      <c r="K13" s="349"/>
      <c r="L13" s="349"/>
      <c r="M13" s="349"/>
      <c r="N13" s="349"/>
      <c r="O13" s="349"/>
    </row>
    <row r="14" spans="1:15" ht="22.5">
      <c r="A14" s="30"/>
      <c r="B14" s="29" t="s">
        <v>234</v>
      </c>
      <c r="C14" s="465" t="s">
        <v>231</v>
      </c>
      <c r="D14" s="347">
        <f t="shared" si="0"/>
        <v>5000</v>
      </c>
      <c r="E14" s="347">
        <f t="shared" si="1"/>
        <v>5000</v>
      </c>
      <c r="F14" s="349">
        <v>5000</v>
      </c>
      <c r="G14" s="349"/>
      <c r="H14" s="349"/>
      <c r="I14" s="349"/>
      <c r="J14" s="349"/>
      <c r="K14" s="349"/>
      <c r="L14" s="349"/>
      <c r="M14" s="349"/>
      <c r="N14" s="349"/>
      <c r="O14" s="349"/>
    </row>
    <row r="15" spans="1:15" ht="11.25">
      <c r="A15" s="30"/>
      <c r="B15" s="29" t="s">
        <v>58</v>
      </c>
      <c r="C15" s="353" t="s">
        <v>59</v>
      </c>
      <c r="D15" s="347">
        <f t="shared" si="0"/>
        <v>550000</v>
      </c>
      <c r="E15" s="347">
        <f t="shared" si="1"/>
        <v>550000</v>
      </c>
      <c r="F15" s="349">
        <v>550000</v>
      </c>
      <c r="G15" s="349"/>
      <c r="H15" s="349"/>
      <c r="I15" s="349"/>
      <c r="J15" s="349"/>
      <c r="K15" s="349"/>
      <c r="L15" s="349"/>
      <c r="M15" s="349"/>
      <c r="N15" s="349"/>
      <c r="O15" s="349"/>
    </row>
    <row r="16" spans="1:15" ht="11.25">
      <c r="A16" s="30"/>
      <c r="B16" s="29" t="s">
        <v>102</v>
      </c>
      <c r="C16" s="353" t="s">
        <v>103</v>
      </c>
      <c r="D16" s="347">
        <f t="shared" si="0"/>
        <v>800</v>
      </c>
      <c r="E16" s="347">
        <f t="shared" si="1"/>
        <v>800</v>
      </c>
      <c r="F16" s="349">
        <v>800</v>
      </c>
      <c r="G16" s="349"/>
      <c r="H16" s="349"/>
      <c r="I16" s="349"/>
      <c r="J16" s="349"/>
      <c r="K16" s="349"/>
      <c r="L16" s="349"/>
      <c r="M16" s="349"/>
      <c r="N16" s="349"/>
      <c r="O16" s="349"/>
    </row>
    <row r="17" spans="1:15" ht="11.25">
      <c r="A17" s="30"/>
      <c r="B17" s="59" t="s">
        <v>188</v>
      </c>
      <c r="C17" s="57" t="s">
        <v>141</v>
      </c>
      <c r="D17" s="346">
        <f t="shared" si="0"/>
        <v>5224636</v>
      </c>
      <c r="E17" s="346">
        <f t="shared" si="1"/>
        <v>0</v>
      </c>
      <c r="F17" s="346">
        <f>SUM(F18:F18)</f>
        <v>0</v>
      </c>
      <c r="G17" s="346"/>
      <c r="H17" s="346"/>
      <c r="I17" s="346"/>
      <c r="J17" s="346"/>
      <c r="K17" s="346">
        <f>SUM(L17:O17)</f>
        <v>5224636</v>
      </c>
      <c r="L17" s="346"/>
      <c r="M17" s="346"/>
      <c r="N17" s="346"/>
      <c r="O17" s="346">
        <f>SUM(O18)</f>
        <v>5224636</v>
      </c>
    </row>
    <row r="18" spans="1:15" ht="11.25">
      <c r="A18" s="30"/>
      <c r="B18" s="29" t="s">
        <v>229</v>
      </c>
      <c r="C18" s="16" t="s">
        <v>230</v>
      </c>
      <c r="D18" s="347">
        <f t="shared" si="0"/>
        <v>5224636</v>
      </c>
      <c r="E18" s="347">
        <f t="shared" si="1"/>
        <v>0</v>
      </c>
      <c r="F18" s="347"/>
      <c r="G18" s="347"/>
      <c r="H18" s="347"/>
      <c r="I18" s="347"/>
      <c r="J18" s="347"/>
      <c r="K18" s="347">
        <f>SUM(L18:O18)</f>
        <v>5224636</v>
      </c>
      <c r="L18" s="347"/>
      <c r="M18" s="347"/>
      <c r="N18" s="347"/>
      <c r="O18" s="347">
        <f>4000000+1224636</f>
        <v>5224636</v>
      </c>
    </row>
    <row r="19" spans="1:15" ht="18" customHeight="1">
      <c r="A19" s="31">
        <v>700</v>
      </c>
      <c r="B19" s="28"/>
      <c r="C19" s="14" t="s">
        <v>65</v>
      </c>
      <c r="D19" s="346">
        <f aca="true" t="shared" si="3" ref="D19:D24">SUM(E19,K19)</f>
        <v>7409700</v>
      </c>
      <c r="E19" s="346">
        <f aca="true" t="shared" si="4" ref="E19:E38">SUM(F19:J19)</f>
        <v>5829700</v>
      </c>
      <c r="F19" s="346">
        <f>SUM(F20,F25)</f>
        <v>5829700</v>
      </c>
      <c r="G19" s="346">
        <f>SUM(G22:G24)</f>
        <v>0</v>
      </c>
      <c r="H19" s="346">
        <f>SUM(H22:H24)</f>
        <v>0</v>
      </c>
      <c r="I19" s="346">
        <f>SUM(I22:I24)</f>
        <v>0</v>
      </c>
      <c r="J19" s="346">
        <f>SUM(J22:J24)</f>
        <v>0</v>
      </c>
      <c r="K19" s="346">
        <f>SUM(L19:O19)</f>
        <v>1580000</v>
      </c>
      <c r="L19" s="346">
        <f>SUM(L20,L25)</f>
        <v>1580000</v>
      </c>
      <c r="M19" s="346">
        <f>SUM(M20,M25)</f>
        <v>0</v>
      </c>
      <c r="N19" s="346"/>
      <c r="O19" s="346">
        <f>SUM(O20,O25)</f>
        <v>0</v>
      </c>
    </row>
    <row r="20" spans="1:15" ht="27" customHeight="1">
      <c r="A20" s="31"/>
      <c r="B20" s="28" t="s">
        <v>235</v>
      </c>
      <c r="C20" s="14" t="s">
        <v>236</v>
      </c>
      <c r="D20" s="346">
        <f t="shared" si="3"/>
        <v>4256700</v>
      </c>
      <c r="E20" s="346">
        <f t="shared" si="4"/>
        <v>4256700</v>
      </c>
      <c r="F20" s="346">
        <f>SUM(F21:F24)</f>
        <v>4256700</v>
      </c>
      <c r="G20" s="346"/>
      <c r="H20" s="346"/>
      <c r="I20" s="346"/>
      <c r="J20" s="346"/>
      <c r="K20" s="346"/>
      <c r="L20" s="346"/>
      <c r="M20" s="346"/>
      <c r="N20" s="346"/>
      <c r="O20" s="346"/>
    </row>
    <row r="21" spans="1:15" ht="90">
      <c r="A21" s="31"/>
      <c r="B21" s="60" t="s">
        <v>68</v>
      </c>
      <c r="C21" s="352" t="s">
        <v>239</v>
      </c>
      <c r="D21" s="347">
        <f t="shared" si="3"/>
        <v>3164500</v>
      </c>
      <c r="E21" s="347">
        <f>SUM(F21,L21)</f>
        <v>3164500</v>
      </c>
      <c r="F21" s="347">
        <v>3164500</v>
      </c>
      <c r="G21" s="347"/>
      <c r="H21" s="347"/>
      <c r="I21" s="347"/>
      <c r="J21" s="347"/>
      <c r="K21" s="347"/>
      <c r="L21" s="347"/>
      <c r="M21" s="347"/>
      <c r="N21" s="347"/>
      <c r="O21" s="347"/>
    </row>
    <row r="22" spans="1:15" ht="11.25">
      <c r="A22" s="30"/>
      <c r="B22" s="60" t="s">
        <v>58</v>
      </c>
      <c r="C22" s="353" t="s">
        <v>232</v>
      </c>
      <c r="D22" s="349">
        <f t="shared" si="3"/>
        <v>1032200</v>
      </c>
      <c r="E22" s="349">
        <f t="shared" si="4"/>
        <v>1032200</v>
      </c>
      <c r="F22" s="349">
        <v>1032200</v>
      </c>
      <c r="G22" s="349"/>
      <c r="H22" s="349"/>
      <c r="I22" s="349"/>
      <c r="J22" s="349"/>
      <c r="K22" s="346" t="s">
        <v>227</v>
      </c>
      <c r="L22" s="349"/>
      <c r="M22" s="349"/>
      <c r="N22" s="349"/>
      <c r="O22" s="349"/>
    </row>
    <row r="23" spans="1:15" ht="11.25">
      <c r="A23" s="30"/>
      <c r="B23" s="60" t="s">
        <v>102</v>
      </c>
      <c r="C23" s="353" t="s">
        <v>233</v>
      </c>
      <c r="D23" s="349">
        <f t="shared" si="3"/>
        <v>45000</v>
      </c>
      <c r="E23" s="349">
        <f t="shared" si="4"/>
        <v>45000</v>
      </c>
      <c r="F23" s="349">
        <v>45000</v>
      </c>
      <c r="G23" s="349"/>
      <c r="H23" s="349"/>
      <c r="I23" s="349"/>
      <c r="J23" s="349"/>
      <c r="K23" s="346" t="s">
        <v>227</v>
      </c>
      <c r="L23" s="349"/>
      <c r="M23" s="349"/>
      <c r="N23" s="349"/>
      <c r="O23" s="349"/>
    </row>
    <row r="24" spans="1:15" ht="11.25">
      <c r="A24" s="30"/>
      <c r="B24" s="60" t="s">
        <v>74</v>
      </c>
      <c r="C24" s="353" t="s">
        <v>244</v>
      </c>
      <c r="D24" s="349">
        <f t="shared" si="3"/>
        <v>15000</v>
      </c>
      <c r="E24" s="349">
        <f t="shared" si="4"/>
        <v>15000</v>
      </c>
      <c r="F24" s="349">
        <v>15000</v>
      </c>
      <c r="G24" s="349"/>
      <c r="H24" s="349"/>
      <c r="I24" s="349"/>
      <c r="J24" s="349"/>
      <c r="K24" s="346" t="s">
        <v>227</v>
      </c>
      <c r="L24" s="349" t="s">
        <v>227</v>
      </c>
      <c r="M24" s="349"/>
      <c r="N24" s="349"/>
      <c r="O24" s="349"/>
    </row>
    <row r="25" spans="1:15" ht="22.5">
      <c r="A25" s="30"/>
      <c r="B25" s="59" t="s">
        <v>196</v>
      </c>
      <c r="C25" s="57" t="s">
        <v>66</v>
      </c>
      <c r="D25" s="346">
        <f aca="true" t="shared" si="5" ref="D25:D45">SUM(E25,K25)</f>
        <v>3153000</v>
      </c>
      <c r="E25" s="346">
        <f t="shared" si="4"/>
        <v>1573000</v>
      </c>
      <c r="F25" s="346">
        <f>SUM(F26:F31)</f>
        <v>1573000</v>
      </c>
      <c r="G25" s="349"/>
      <c r="H25" s="349"/>
      <c r="I25" s="349"/>
      <c r="J25" s="349"/>
      <c r="K25" s="346">
        <f>SUM(L25:O25)</f>
        <v>1580000</v>
      </c>
      <c r="L25" s="348">
        <f>SUM(L26:L31)</f>
        <v>1580000</v>
      </c>
      <c r="M25" s="349"/>
      <c r="N25" s="349"/>
      <c r="O25" s="349"/>
    </row>
    <row r="26" spans="1:15" ht="33.75">
      <c r="A26" s="30"/>
      <c r="B26" s="60" t="s">
        <v>67</v>
      </c>
      <c r="C26" s="354" t="s">
        <v>237</v>
      </c>
      <c r="D26" s="347">
        <f t="shared" si="5"/>
        <v>1100000</v>
      </c>
      <c r="E26" s="347">
        <f>SUM(F26,L26)</f>
        <v>1100000</v>
      </c>
      <c r="F26" s="349">
        <v>1100000</v>
      </c>
      <c r="G26" s="349"/>
      <c r="H26" s="349"/>
      <c r="I26" s="349"/>
      <c r="J26" s="349"/>
      <c r="K26" s="346"/>
      <c r="L26" s="349"/>
      <c r="M26" s="349"/>
      <c r="N26" s="349"/>
      <c r="O26" s="349"/>
    </row>
    <row r="27" spans="1:15" ht="45">
      <c r="A27" s="30"/>
      <c r="B27" s="60" t="s">
        <v>96</v>
      </c>
      <c r="C27" s="352" t="s">
        <v>238</v>
      </c>
      <c r="D27" s="347">
        <f t="shared" si="5"/>
        <v>30000</v>
      </c>
      <c r="E27" s="347">
        <f>SUM(F27,L27)</f>
        <v>30000</v>
      </c>
      <c r="F27" s="349">
        <v>30000</v>
      </c>
      <c r="G27" s="349"/>
      <c r="H27" s="349"/>
      <c r="I27" s="349"/>
      <c r="J27" s="349"/>
      <c r="K27" s="346"/>
      <c r="L27" s="349"/>
      <c r="M27" s="349"/>
      <c r="N27" s="349"/>
      <c r="O27" s="349"/>
    </row>
    <row r="28" spans="1:15" ht="90">
      <c r="A28" s="30"/>
      <c r="B28" s="60" t="s">
        <v>68</v>
      </c>
      <c r="C28" s="352" t="s">
        <v>239</v>
      </c>
      <c r="D28" s="347">
        <f t="shared" si="5"/>
        <v>438000</v>
      </c>
      <c r="E28" s="347">
        <f>SUM(F28,L28)</f>
        <v>438000</v>
      </c>
      <c r="F28" s="349">
        <v>438000</v>
      </c>
      <c r="G28" s="349"/>
      <c r="H28" s="349"/>
      <c r="I28" s="349"/>
      <c r="J28" s="349"/>
      <c r="K28" s="346"/>
      <c r="L28" s="349"/>
      <c r="M28" s="349"/>
      <c r="N28" s="349"/>
      <c r="O28" s="349"/>
    </row>
    <row r="29" spans="1:15" ht="67.5">
      <c r="A29" s="30"/>
      <c r="B29" s="60" t="s">
        <v>240</v>
      </c>
      <c r="C29" s="352" t="s">
        <v>241</v>
      </c>
      <c r="D29" s="347">
        <f t="shared" si="5"/>
        <v>80000</v>
      </c>
      <c r="E29" s="347"/>
      <c r="F29" s="349"/>
      <c r="G29" s="349"/>
      <c r="H29" s="349"/>
      <c r="I29" s="349"/>
      <c r="J29" s="349"/>
      <c r="K29" s="347">
        <f>SUM(L29:O29)</f>
        <v>80000</v>
      </c>
      <c r="L29" s="349">
        <v>80000</v>
      </c>
      <c r="M29" s="349"/>
      <c r="N29" s="349"/>
      <c r="O29" s="349"/>
    </row>
    <row r="30" spans="1:15" ht="45">
      <c r="A30" s="30"/>
      <c r="B30" s="60" t="s">
        <v>69</v>
      </c>
      <c r="C30" s="352" t="s">
        <v>242</v>
      </c>
      <c r="D30" s="347">
        <f t="shared" si="5"/>
        <v>1500000</v>
      </c>
      <c r="E30" s="347"/>
      <c r="F30" s="349"/>
      <c r="G30" s="349"/>
      <c r="H30" s="349"/>
      <c r="I30" s="349"/>
      <c r="J30" s="349"/>
      <c r="K30" s="347">
        <f>SUM(L30:O30)</f>
        <v>1500000</v>
      </c>
      <c r="L30" s="349">
        <v>1500000</v>
      </c>
      <c r="M30" s="349"/>
      <c r="N30" s="349"/>
      <c r="O30" s="349"/>
    </row>
    <row r="31" spans="1:15" ht="25.5" customHeight="1">
      <c r="A31" s="30"/>
      <c r="B31" s="60" t="s">
        <v>63</v>
      </c>
      <c r="C31" s="352" t="s">
        <v>243</v>
      </c>
      <c r="D31" s="347">
        <f t="shared" si="5"/>
        <v>5000</v>
      </c>
      <c r="E31" s="347">
        <f>SUM(F31,L31)</f>
        <v>5000</v>
      </c>
      <c r="F31" s="349">
        <v>5000</v>
      </c>
      <c r="G31" s="349"/>
      <c r="H31" s="349"/>
      <c r="I31" s="349"/>
      <c r="J31" s="349"/>
      <c r="K31" s="346"/>
      <c r="L31" s="349"/>
      <c r="M31" s="349"/>
      <c r="N31" s="349"/>
      <c r="O31" s="349"/>
    </row>
    <row r="32" spans="1:15" ht="11.25">
      <c r="A32" s="31">
        <v>750</v>
      </c>
      <c r="B32" s="28"/>
      <c r="C32" s="14" t="s">
        <v>70</v>
      </c>
      <c r="D32" s="346">
        <f t="shared" si="5"/>
        <v>2539096</v>
      </c>
      <c r="E32" s="346">
        <f>SUM(F32:J32)</f>
        <v>236902</v>
      </c>
      <c r="F32" s="346">
        <f>SUM(F33)</f>
        <v>26</v>
      </c>
      <c r="G32" s="346">
        <f>SUM(G34:G35)</f>
        <v>236876</v>
      </c>
      <c r="H32" s="346">
        <f>SUM(H34:H35)</f>
        <v>0</v>
      </c>
      <c r="I32" s="346">
        <f>SUM(I34:I35)</f>
        <v>0</v>
      </c>
      <c r="J32" s="346">
        <f>SUM(J34:J35)</f>
        <v>0</v>
      </c>
      <c r="K32" s="346">
        <f>SUM(K33,K36)</f>
        <v>2302194</v>
      </c>
      <c r="L32" s="346"/>
      <c r="M32" s="346"/>
      <c r="N32" s="346"/>
      <c r="O32" s="346">
        <f>SUM(O33,O36)</f>
        <v>2302194</v>
      </c>
    </row>
    <row r="33" spans="1:15" ht="11.25">
      <c r="A33" s="31"/>
      <c r="B33" s="28" t="s">
        <v>246</v>
      </c>
      <c r="C33" s="355" t="s">
        <v>245</v>
      </c>
      <c r="D33" s="346">
        <f t="shared" si="5"/>
        <v>236902</v>
      </c>
      <c r="E33" s="346">
        <f t="shared" si="4"/>
        <v>236902</v>
      </c>
      <c r="F33" s="346">
        <f>SUM(F35:F38)</f>
        <v>26</v>
      </c>
      <c r="G33" s="346">
        <f>SUM(G34:G35)</f>
        <v>236876</v>
      </c>
      <c r="H33" s="346"/>
      <c r="I33" s="346"/>
      <c r="J33" s="346"/>
      <c r="K33" s="346"/>
      <c r="L33" s="346"/>
      <c r="M33" s="346"/>
      <c r="N33" s="346"/>
      <c r="O33" s="346"/>
    </row>
    <row r="34" spans="1:15" ht="78.75">
      <c r="A34" s="30"/>
      <c r="B34" s="29" t="s">
        <v>72</v>
      </c>
      <c r="C34" s="16" t="s">
        <v>439</v>
      </c>
      <c r="D34" s="347">
        <f t="shared" si="5"/>
        <v>236876</v>
      </c>
      <c r="E34" s="347">
        <f t="shared" si="4"/>
        <v>236876</v>
      </c>
      <c r="F34" s="349"/>
      <c r="G34" s="349">
        <v>236876</v>
      </c>
      <c r="H34" s="349"/>
      <c r="I34" s="349"/>
      <c r="J34" s="349"/>
      <c r="K34" s="349"/>
      <c r="L34" s="349"/>
      <c r="M34" s="349"/>
      <c r="N34" s="349"/>
      <c r="O34" s="349"/>
    </row>
    <row r="35" spans="1:15" ht="68.25" customHeight="1">
      <c r="A35" s="30"/>
      <c r="B35" s="29" t="s">
        <v>73</v>
      </c>
      <c r="C35" s="16" t="s">
        <v>545</v>
      </c>
      <c r="D35" s="347">
        <f t="shared" si="5"/>
        <v>26</v>
      </c>
      <c r="E35" s="347">
        <f t="shared" si="4"/>
        <v>26</v>
      </c>
      <c r="F35" s="349">
        <v>26</v>
      </c>
      <c r="G35" s="349"/>
      <c r="H35" s="349"/>
      <c r="I35" s="349"/>
      <c r="J35" s="349"/>
      <c r="K35" s="349"/>
      <c r="L35" s="349"/>
      <c r="M35" s="349"/>
      <c r="N35" s="349"/>
      <c r="O35" s="349"/>
    </row>
    <row r="36" spans="1:15" ht="11.25">
      <c r="A36" s="30"/>
      <c r="B36" s="59" t="s">
        <v>189</v>
      </c>
      <c r="C36" s="57" t="s">
        <v>57</v>
      </c>
      <c r="D36" s="346">
        <f t="shared" si="5"/>
        <v>2302194</v>
      </c>
      <c r="E36" s="346">
        <f>SUM(F36:J36)</f>
        <v>0</v>
      </c>
      <c r="F36" s="346">
        <f>SUM(F37:F37)</f>
        <v>0</v>
      </c>
      <c r="G36" s="346"/>
      <c r="H36" s="346"/>
      <c r="I36" s="346"/>
      <c r="J36" s="346"/>
      <c r="K36" s="346">
        <f>SUM(L36:O36)</f>
        <v>2302194</v>
      </c>
      <c r="L36" s="346"/>
      <c r="M36" s="346"/>
      <c r="N36" s="346"/>
      <c r="O36" s="346">
        <f>SUM(O37)</f>
        <v>2302194</v>
      </c>
    </row>
    <row r="37" spans="1:15" ht="11.25">
      <c r="A37" s="30"/>
      <c r="B37" s="29" t="s">
        <v>229</v>
      </c>
      <c r="C37" s="16" t="s">
        <v>252</v>
      </c>
      <c r="D37" s="347">
        <f t="shared" si="5"/>
        <v>2302194</v>
      </c>
      <c r="E37" s="347">
        <f>SUM(F37:J37)</f>
        <v>0</v>
      </c>
      <c r="F37" s="347"/>
      <c r="G37" s="347"/>
      <c r="H37" s="347"/>
      <c r="I37" s="347"/>
      <c r="J37" s="347"/>
      <c r="K37" s="347">
        <f>SUM(L37:O37)</f>
        <v>2302194</v>
      </c>
      <c r="L37" s="347"/>
      <c r="M37" s="347"/>
      <c r="N37" s="347"/>
      <c r="O37" s="347">
        <v>2302194</v>
      </c>
    </row>
    <row r="38" spans="1:15" ht="56.25" customHeight="1">
      <c r="A38" s="31">
        <v>751</v>
      </c>
      <c r="B38" s="28"/>
      <c r="C38" s="14" t="s">
        <v>76</v>
      </c>
      <c r="D38" s="346">
        <f t="shared" si="5"/>
        <v>5200</v>
      </c>
      <c r="E38" s="346">
        <f t="shared" si="4"/>
        <v>5200</v>
      </c>
      <c r="F38" s="346">
        <f>SUM(F40)</f>
        <v>0</v>
      </c>
      <c r="G38" s="346">
        <f>SUM(G40)</f>
        <v>5200</v>
      </c>
      <c r="H38" s="346">
        <f>SUM(H40)</f>
        <v>0</v>
      </c>
      <c r="I38" s="346">
        <f>SUM(I40)</f>
        <v>0</v>
      </c>
      <c r="J38" s="346">
        <f>SUM(J40)</f>
        <v>0</v>
      </c>
      <c r="K38" s="346">
        <f>SUM(L38:O38)</f>
        <v>0</v>
      </c>
      <c r="L38" s="346">
        <f>SUM(M40)</f>
        <v>0</v>
      </c>
      <c r="M38" s="346">
        <f>SUM(O40)</f>
        <v>0</v>
      </c>
      <c r="N38" s="346"/>
      <c r="O38" s="346">
        <f>SUM(P40)</f>
        <v>0</v>
      </c>
    </row>
    <row r="39" spans="1:15" ht="31.5">
      <c r="A39" s="31"/>
      <c r="B39" s="28" t="s">
        <v>254</v>
      </c>
      <c r="C39" s="356" t="s">
        <v>253</v>
      </c>
      <c r="D39" s="346">
        <f t="shared" si="5"/>
        <v>5200</v>
      </c>
      <c r="E39" s="346">
        <f aca="true" t="shared" si="6" ref="E39:E45">SUM(F39:J39)</f>
        <v>5200</v>
      </c>
      <c r="F39" s="346">
        <f>SUM(F40)</f>
        <v>0</v>
      </c>
      <c r="G39" s="349">
        <f>SUM(G40)</f>
        <v>5200</v>
      </c>
      <c r="H39" s="346"/>
      <c r="I39" s="346"/>
      <c r="J39" s="346"/>
      <c r="K39" s="346"/>
      <c r="L39" s="346"/>
      <c r="M39" s="346"/>
      <c r="N39" s="346"/>
      <c r="O39" s="346"/>
    </row>
    <row r="40" spans="1:15" ht="78.75">
      <c r="A40" s="30"/>
      <c r="B40" s="29" t="s">
        <v>72</v>
      </c>
      <c r="C40" s="16" t="s">
        <v>439</v>
      </c>
      <c r="D40" s="346">
        <f t="shared" si="5"/>
        <v>5200</v>
      </c>
      <c r="E40" s="346">
        <f t="shared" si="6"/>
        <v>5200</v>
      </c>
      <c r="F40" s="346">
        <f>SUM(F41)</f>
        <v>0</v>
      </c>
      <c r="G40" s="349">
        <v>5200</v>
      </c>
      <c r="H40" s="349"/>
      <c r="I40" s="349"/>
      <c r="J40" s="349"/>
      <c r="K40" s="349"/>
      <c r="L40" s="349"/>
      <c r="M40" s="349"/>
      <c r="N40" s="349"/>
      <c r="O40" s="349"/>
    </row>
    <row r="41" spans="1:15" ht="33.75">
      <c r="A41" s="31">
        <v>754</v>
      </c>
      <c r="B41" s="28"/>
      <c r="C41" s="14" t="s">
        <v>77</v>
      </c>
      <c r="D41" s="346">
        <f t="shared" si="5"/>
        <v>3500</v>
      </c>
      <c r="E41" s="346">
        <f t="shared" si="6"/>
        <v>3500</v>
      </c>
      <c r="F41" s="346">
        <f>SUM(F43)</f>
        <v>0</v>
      </c>
      <c r="G41" s="346">
        <f>SUM(G43)</f>
        <v>3500</v>
      </c>
      <c r="H41" s="346">
        <f>SUM(H43)</f>
        <v>0</v>
      </c>
      <c r="I41" s="346">
        <f>SUM(I43)</f>
        <v>0</v>
      </c>
      <c r="J41" s="346">
        <f>SUM(J43)</f>
        <v>0</v>
      </c>
      <c r="K41" s="346">
        <f>SUM(L41:O41)</f>
        <v>0</v>
      </c>
      <c r="L41" s="346">
        <f>SUM(M43)</f>
        <v>0</v>
      </c>
      <c r="M41" s="346">
        <f>SUM(O43)</f>
        <v>0</v>
      </c>
      <c r="N41" s="346"/>
      <c r="O41" s="346">
        <f>SUM(P43)</f>
        <v>0</v>
      </c>
    </row>
    <row r="42" spans="1:15" ht="11.25">
      <c r="A42" s="31"/>
      <c r="B42" s="28" t="s">
        <v>255</v>
      </c>
      <c r="C42" s="355" t="s">
        <v>78</v>
      </c>
      <c r="D42" s="346">
        <f t="shared" si="5"/>
        <v>3500</v>
      </c>
      <c r="E42" s="346">
        <f t="shared" si="6"/>
        <v>3500</v>
      </c>
      <c r="F42" s="346"/>
      <c r="G42" s="346">
        <v>3500</v>
      </c>
      <c r="H42" s="346"/>
      <c r="I42" s="346"/>
      <c r="J42" s="346"/>
      <c r="K42" s="346"/>
      <c r="L42" s="346"/>
      <c r="M42" s="346"/>
      <c r="N42" s="346"/>
      <c r="O42" s="346"/>
    </row>
    <row r="43" spans="1:15" ht="78.75">
      <c r="A43" s="30"/>
      <c r="B43" s="29" t="s">
        <v>72</v>
      </c>
      <c r="C43" s="16" t="s">
        <v>439</v>
      </c>
      <c r="D43" s="346">
        <f t="shared" si="5"/>
        <v>3500</v>
      </c>
      <c r="E43" s="346">
        <f t="shared" si="6"/>
        <v>3500</v>
      </c>
      <c r="F43" s="349"/>
      <c r="G43" s="349">
        <v>3500</v>
      </c>
      <c r="H43" s="349"/>
      <c r="I43" s="349"/>
      <c r="J43" s="349"/>
      <c r="K43" s="349"/>
      <c r="L43" s="349"/>
      <c r="M43" s="349"/>
      <c r="N43" s="349"/>
      <c r="O43" s="349"/>
    </row>
    <row r="44" spans="1:15" ht="93" customHeight="1">
      <c r="A44" s="31">
        <v>756</v>
      </c>
      <c r="B44" s="28"/>
      <c r="C44" s="14" t="s">
        <v>546</v>
      </c>
      <c r="D44" s="346">
        <f t="shared" si="5"/>
        <v>33046205</v>
      </c>
      <c r="E44" s="346">
        <f t="shared" si="6"/>
        <v>33046205</v>
      </c>
      <c r="F44" s="346">
        <f>SUM(F45,F47,F56,F65,F68)</f>
        <v>33046205</v>
      </c>
      <c r="G44" s="346">
        <f>SUM(G48:G55)</f>
        <v>0</v>
      </c>
      <c r="H44" s="346">
        <f>SUM(H48:H55)</f>
        <v>0</v>
      </c>
      <c r="I44" s="346">
        <f>SUM(I48:I55)</f>
        <v>0</v>
      </c>
      <c r="J44" s="346">
        <f>SUM(J48:J55)</f>
        <v>0</v>
      </c>
      <c r="K44" s="346">
        <f>SUM(L44:O44)</f>
        <v>0</v>
      </c>
      <c r="L44" s="346"/>
      <c r="M44" s="346"/>
      <c r="N44" s="346"/>
      <c r="O44" s="346"/>
    </row>
    <row r="45" spans="1:15" ht="36.75" customHeight="1">
      <c r="A45" s="31"/>
      <c r="B45" s="28" t="s">
        <v>247</v>
      </c>
      <c r="C45" s="357" t="s">
        <v>248</v>
      </c>
      <c r="D45" s="346">
        <f t="shared" si="5"/>
        <v>85000</v>
      </c>
      <c r="E45" s="346">
        <f t="shared" si="6"/>
        <v>85000</v>
      </c>
      <c r="F45" s="346">
        <f>SUM(F46)</f>
        <v>85000</v>
      </c>
      <c r="G45" s="346"/>
      <c r="H45" s="346"/>
      <c r="I45" s="346"/>
      <c r="J45" s="346"/>
      <c r="K45" s="346"/>
      <c r="L45" s="346"/>
      <c r="M45" s="346"/>
      <c r="N45" s="346"/>
      <c r="O45" s="346"/>
    </row>
    <row r="46" spans="1:15" ht="45.75" customHeight="1">
      <c r="A46" s="31"/>
      <c r="B46" s="60" t="s">
        <v>79</v>
      </c>
      <c r="C46" s="63" t="s">
        <v>251</v>
      </c>
      <c r="D46" s="349">
        <f aca="true" t="shared" si="7" ref="D46:D55">SUM(E46,K46)</f>
        <v>85000</v>
      </c>
      <c r="E46" s="349">
        <f aca="true" t="shared" si="8" ref="E46:E55">SUM(F46:J46)</f>
        <v>85000</v>
      </c>
      <c r="F46" s="347">
        <v>85000</v>
      </c>
      <c r="G46" s="347"/>
      <c r="H46" s="347"/>
      <c r="I46" s="347"/>
      <c r="J46" s="347"/>
      <c r="K46" s="347"/>
      <c r="L46" s="347"/>
      <c r="M46" s="347"/>
      <c r="N46" s="347"/>
      <c r="O46" s="347"/>
    </row>
    <row r="47" spans="1:15" ht="87" customHeight="1">
      <c r="A47" s="31"/>
      <c r="B47" s="28" t="s">
        <v>250</v>
      </c>
      <c r="C47" s="62" t="s">
        <v>249</v>
      </c>
      <c r="D47" s="346">
        <f>SUM(E47,K47)</f>
        <v>9339727</v>
      </c>
      <c r="E47" s="346">
        <f>SUM(F47:J47)</f>
        <v>9339727</v>
      </c>
      <c r="F47" s="346">
        <f>SUM(F48:F55)</f>
        <v>9339727</v>
      </c>
      <c r="G47" s="346">
        <f>SUM(G49:G75)</f>
        <v>0</v>
      </c>
      <c r="H47" s="346"/>
      <c r="I47" s="346"/>
      <c r="J47" s="346"/>
      <c r="K47" s="346"/>
      <c r="L47" s="346"/>
      <c r="M47" s="346"/>
      <c r="N47" s="346"/>
      <c r="O47" s="346"/>
    </row>
    <row r="48" spans="1:15" ht="11.25">
      <c r="A48" s="30"/>
      <c r="B48" s="29" t="s">
        <v>80</v>
      </c>
      <c r="C48" s="16" t="s">
        <v>81</v>
      </c>
      <c r="D48" s="349">
        <f t="shared" si="7"/>
        <v>8344453</v>
      </c>
      <c r="E48" s="349">
        <f t="shared" si="8"/>
        <v>8344453</v>
      </c>
      <c r="F48" s="349">
        <v>8344453</v>
      </c>
      <c r="G48" s="349"/>
      <c r="H48" s="349"/>
      <c r="I48" s="349"/>
      <c r="J48" s="349"/>
      <c r="K48" s="349"/>
      <c r="L48" s="349"/>
      <c r="M48" s="349"/>
      <c r="N48" s="349"/>
      <c r="O48" s="349"/>
    </row>
    <row r="49" spans="1:15" ht="11.25">
      <c r="A49" s="30"/>
      <c r="B49" s="29" t="s">
        <v>82</v>
      </c>
      <c r="C49" s="16" t="s">
        <v>83</v>
      </c>
      <c r="D49" s="349">
        <f t="shared" si="7"/>
        <v>786</v>
      </c>
      <c r="E49" s="349">
        <f t="shared" si="8"/>
        <v>786</v>
      </c>
      <c r="F49" s="349">
        <v>786</v>
      </c>
      <c r="G49" s="349"/>
      <c r="H49" s="349"/>
      <c r="I49" s="349"/>
      <c r="J49" s="349"/>
      <c r="K49" s="349"/>
      <c r="L49" s="349"/>
      <c r="M49" s="349"/>
      <c r="N49" s="349"/>
      <c r="O49" s="349"/>
    </row>
    <row r="50" spans="1:15" ht="11.25">
      <c r="A50" s="30"/>
      <c r="B50" s="29" t="s">
        <v>84</v>
      </c>
      <c r="C50" s="16" t="s">
        <v>85</v>
      </c>
      <c r="D50" s="349">
        <f t="shared" si="7"/>
        <v>90</v>
      </c>
      <c r="E50" s="349">
        <f t="shared" si="8"/>
        <v>90</v>
      </c>
      <c r="F50" s="349">
        <v>90</v>
      </c>
      <c r="G50" s="349"/>
      <c r="H50" s="349"/>
      <c r="I50" s="349"/>
      <c r="J50" s="349"/>
      <c r="K50" s="349"/>
      <c r="L50" s="349"/>
      <c r="M50" s="349"/>
      <c r="N50" s="349"/>
      <c r="O50" s="349"/>
    </row>
    <row r="51" spans="1:15" ht="22.5" customHeight="1">
      <c r="A51" s="32"/>
      <c r="B51" s="33" t="s">
        <v>86</v>
      </c>
      <c r="C51" s="63" t="s">
        <v>291</v>
      </c>
      <c r="D51" s="349">
        <f t="shared" si="7"/>
        <v>260000</v>
      </c>
      <c r="E51" s="349">
        <f t="shared" si="8"/>
        <v>260000</v>
      </c>
      <c r="F51" s="350">
        <v>260000</v>
      </c>
      <c r="G51" s="350"/>
      <c r="H51" s="350"/>
      <c r="I51" s="350"/>
      <c r="J51" s="350"/>
      <c r="K51" s="350"/>
      <c r="L51" s="350"/>
      <c r="M51" s="350"/>
      <c r="N51" s="350"/>
      <c r="O51" s="350"/>
    </row>
    <row r="52" spans="1:15" ht="12.75" customHeight="1">
      <c r="A52" s="32"/>
      <c r="B52" s="33" t="s">
        <v>90</v>
      </c>
      <c r="C52" s="63" t="s">
        <v>288</v>
      </c>
      <c r="D52" s="349">
        <f t="shared" si="7"/>
        <v>500000</v>
      </c>
      <c r="E52" s="349">
        <f t="shared" si="8"/>
        <v>500000</v>
      </c>
      <c r="F52" s="350">
        <v>500000</v>
      </c>
      <c r="G52" s="350"/>
      <c r="H52" s="350"/>
      <c r="I52" s="350"/>
      <c r="J52" s="350"/>
      <c r="K52" s="350"/>
      <c r="L52" s="350"/>
      <c r="M52" s="350"/>
      <c r="N52" s="350"/>
      <c r="O52" s="350"/>
    </row>
    <row r="53" spans="1:15" ht="22.5">
      <c r="A53" s="30"/>
      <c r="B53" s="29" t="s">
        <v>91</v>
      </c>
      <c r="C53" s="16" t="s">
        <v>92</v>
      </c>
      <c r="D53" s="349">
        <f t="shared" si="7"/>
        <v>40000</v>
      </c>
      <c r="E53" s="349">
        <f t="shared" si="8"/>
        <v>40000</v>
      </c>
      <c r="F53" s="349">
        <v>40000</v>
      </c>
      <c r="G53" s="349"/>
      <c r="H53" s="349"/>
      <c r="I53" s="349"/>
      <c r="J53" s="349"/>
      <c r="K53" s="349"/>
      <c r="L53" s="349"/>
      <c r="M53" s="349"/>
      <c r="N53" s="349"/>
      <c r="O53" s="349"/>
    </row>
    <row r="54" spans="1:15" ht="24" customHeight="1">
      <c r="A54" s="30"/>
      <c r="B54" s="29" t="s">
        <v>63</v>
      </c>
      <c r="C54" s="16" t="s">
        <v>64</v>
      </c>
      <c r="D54" s="349">
        <f t="shared" si="7"/>
        <v>10000</v>
      </c>
      <c r="E54" s="349">
        <f t="shared" si="8"/>
        <v>10000</v>
      </c>
      <c r="F54" s="349">
        <v>10000</v>
      </c>
      <c r="G54" s="349"/>
      <c r="H54" s="349"/>
      <c r="I54" s="349"/>
      <c r="J54" s="349"/>
      <c r="K54" s="349"/>
      <c r="L54" s="349"/>
      <c r="M54" s="349"/>
      <c r="N54" s="349"/>
      <c r="O54" s="349"/>
    </row>
    <row r="55" spans="1:15" ht="33.75">
      <c r="A55" s="30"/>
      <c r="B55" s="29" t="s">
        <v>289</v>
      </c>
      <c r="C55" s="63" t="s">
        <v>290</v>
      </c>
      <c r="D55" s="349">
        <f t="shared" si="7"/>
        <v>184398</v>
      </c>
      <c r="E55" s="349">
        <f t="shared" si="8"/>
        <v>184398</v>
      </c>
      <c r="F55" s="349">
        <v>184398</v>
      </c>
      <c r="G55" s="349"/>
      <c r="H55" s="349"/>
      <c r="I55" s="349"/>
      <c r="J55" s="349"/>
      <c r="K55" s="349"/>
      <c r="L55" s="349"/>
      <c r="M55" s="349"/>
      <c r="N55" s="349"/>
      <c r="O55" s="349"/>
    </row>
    <row r="56" spans="1:15" ht="95.25">
      <c r="A56" s="30"/>
      <c r="B56" s="28" t="s">
        <v>522</v>
      </c>
      <c r="C56" s="396" t="s">
        <v>523</v>
      </c>
      <c r="D56" s="346">
        <f>SUM(E56,K56)</f>
        <v>5024215</v>
      </c>
      <c r="E56" s="346">
        <f>SUM(F56:J56)</f>
        <v>5024215</v>
      </c>
      <c r="F56" s="346">
        <f>SUM(F57:F64)</f>
        <v>5024215</v>
      </c>
      <c r="G56" s="346">
        <f>SUM(G57:G64)</f>
        <v>0</v>
      </c>
      <c r="H56" s="349"/>
      <c r="I56" s="349"/>
      <c r="J56" s="349"/>
      <c r="K56" s="349"/>
      <c r="L56" s="349"/>
      <c r="M56" s="349"/>
      <c r="N56" s="349"/>
      <c r="O56" s="349"/>
    </row>
    <row r="57" spans="1:15" ht="11.25">
      <c r="A57" s="30"/>
      <c r="B57" s="29" t="s">
        <v>80</v>
      </c>
      <c r="C57" s="16" t="s">
        <v>81</v>
      </c>
      <c r="D57" s="349">
        <f aca="true" t="shared" si="9" ref="D57:D64">SUM(E57,K57)</f>
        <v>3450000</v>
      </c>
      <c r="E57" s="349">
        <f aca="true" t="shared" si="10" ref="E57:E64">SUM(F57:J57)</f>
        <v>3450000</v>
      </c>
      <c r="F57" s="349">
        <v>3450000</v>
      </c>
      <c r="G57" s="349"/>
      <c r="H57" s="349"/>
      <c r="I57" s="349"/>
      <c r="J57" s="349"/>
      <c r="K57" s="349"/>
      <c r="L57" s="349"/>
      <c r="M57" s="349"/>
      <c r="N57" s="349"/>
      <c r="O57" s="349"/>
    </row>
    <row r="58" spans="1:15" ht="11.25">
      <c r="A58" s="30"/>
      <c r="B58" s="29" t="s">
        <v>82</v>
      </c>
      <c r="C58" s="16" t="s">
        <v>83</v>
      </c>
      <c r="D58" s="349">
        <f t="shared" si="9"/>
        <v>38686</v>
      </c>
      <c r="E58" s="349">
        <f t="shared" si="10"/>
        <v>38686</v>
      </c>
      <c r="F58" s="349">
        <v>38686</v>
      </c>
      <c r="G58" s="349"/>
      <c r="H58" s="349"/>
      <c r="I58" s="349"/>
      <c r="J58" s="349"/>
      <c r="K58" s="349"/>
      <c r="L58" s="349"/>
      <c r="M58" s="349"/>
      <c r="N58" s="349"/>
      <c r="O58" s="349"/>
    </row>
    <row r="59" spans="1:15" ht="11.25">
      <c r="A59" s="30"/>
      <c r="B59" s="29" t="s">
        <v>84</v>
      </c>
      <c r="C59" s="16" t="s">
        <v>85</v>
      </c>
      <c r="D59" s="349">
        <f t="shared" si="9"/>
        <v>529</v>
      </c>
      <c r="E59" s="349">
        <f t="shared" si="10"/>
        <v>529</v>
      </c>
      <c r="F59" s="349">
        <v>529</v>
      </c>
      <c r="G59" s="349"/>
      <c r="H59" s="349"/>
      <c r="I59" s="349"/>
      <c r="J59" s="349"/>
      <c r="K59" s="349"/>
      <c r="L59" s="349"/>
      <c r="M59" s="349"/>
      <c r="N59" s="349"/>
      <c r="O59" s="349"/>
    </row>
    <row r="60" spans="1:15" ht="22.5">
      <c r="A60" s="30"/>
      <c r="B60" s="29" t="s">
        <v>86</v>
      </c>
      <c r="C60" s="16" t="s">
        <v>87</v>
      </c>
      <c r="D60" s="349">
        <f t="shared" si="9"/>
        <v>650000</v>
      </c>
      <c r="E60" s="349">
        <f t="shared" si="10"/>
        <v>650000</v>
      </c>
      <c r="F60" s="349">
        <v>650000</v>
      </c>
      <c r="G60" s="349"/>
      <c r="H60" s="349"/>
      <c r="I60" s="349"/>
      <c r="J60" s="349"/>
      <c r="K60" s="349"/>
      <c r="L60" s="349"/>
      <c r="M60" s="349"/>
      <c r="N60" s="349"/>
      <c r="O60" s="349"/>
    </row>
    <row r="61" spans="1:15" ht="22.5">
      <c r="A61" s="30"/>
      <c r="B61" s="29" t="s">
        <v>88</v>
      </c>
      <c r="C61" s="16" t="s">
        <v>89</v>
      </c>
      <c r="D61" s="349">
        <f t="shared" si="9"/>
        <v>150000</v>
      </c>
      <c r="E61" s="349">
        <f t="shared" si="10"/>
        <v>150000</v>
      </c>
      <c r="F61" s="349">
        <v>150000</v>
      </c>
      <c r="G61" s="349"/>
      <c r="H61" s="349"/>
      <c r="I61" s="349"/>
      <c r="J61" s="349"/>
      <c r="K61" s="349"/>
      <c r="L61" s="349"/>
      <c r="M61" s="349"/>
      <c r="N61" s="349"/>
      <c r="O61" s="349"/>
    </row>
    <row r="62" spans="1:15" ht="22.5">
      <c r="A62" s="30"/>
      <c r="B62" s="29" t="s">
        <v>91</v>
      </c>
      <c r="C62" s="16" t="s">
        <v>92</v>
      </c>
      <c r="D62" s="349">
        <f t="shared" si="9"/>
        <v>700000</v>
      </c>
      <c r="E62" s="349">
        <f t="shared" si="10"/>
        <v>700000</v>
      </c>
      <c r="F62" s="349">
        <v>700000</v>
      </c>
      <c r="G62" s="349"/>
      <c r="H62" s="349"/>
      <c r="I62" s="349"/>
      <c r="J62" s="349"/>
      <c r="K62" s="349"/>
      <c r="L62" s="349"/>
      <c r="M62" s="349"/>
      <c r="N62" s="349"/>
      <c r="O62" s="349"/>
    </row>
    <row r="63" spans="1:15" ht="11.25">
      <c r="A63" s="30"/>
      <c r="B63" s="29" t="s">
        <v>93</v>
      </c>
      <c r="C63" s="16" t="s">
        <v>178</v>
      </c>
      <c r="D63" s="349">
        <f t="shared" si="9"/>
        <v>5000</v>
      </c>
      <c r="E63" s="349">
        <f t="shared" si="10"/>
        <v>5000</v>
      </c>
      <c r="F63" s="349">
        <v>5000</v>
      </c>
      <c r="G63" s="349"/>
      <c r="H63" s="349"/>
      <c r="I63" s="349"/>
      <c r="J63" s="349"/>
      <c r="K63" s="349"/>
      <c r="L63" s="349"/>
      <c r="M63" s="349"/>
      <c r="N63" s="349"/>
      <c r="O63" s="349"/>
    </row>
    <row r="64" spans="1:15" ht="24.75" customHeight="1">
      <c r="A64" s="30"/>
      <c r="B64" s="29" t="s">
        <v>63</v>
      </c>
      <c r="C64" s="16" t="s">
        <v>64</v>
      </c>
      <c r="D64" s="349">
        <f t="shared" si="9"/>
        <v>30000</v>
      </c>
      <c r="E64" s="349">
        <f t="shared" si="10"/>
        <v>30000</v>
      </c>
      <c r="F64" s="349">
        <v>30000</v>
      </c>
      <c r="G64" s="349"/>
      <c r="H64" s="349"/>
      <c r="I64" s="349"/>
      <c r="J64" s="349"/>
      <c r="K64" s="349"/>
      <c r="L64" s="349"/>
      <c r="M64" s="349"/>
      <c r="N64" s="349"/>
      <c r="O64" s="349"/>
    </row>
    <row r="65" spans="1:15" ht="55.5" customHeight="1">
      <c r="A65" s="30"/>
      <c r="B65" s="59" t="s">
        <v>260</v>
      </c>
      <c r="C65" s="62" t="s">
        <v>94</v>
      </c>
      <c r="D65" s="346">
        <f aca="true" t="shared" si="11" ref="D65:D79">SUM(E65,K65)</f>
        <v>530000</v>
      </c>
      <c r="E65" s="346">
        <f aca="true" t="shared" si="12" ref="E65:E71">SUM(F65:J65)</f>
        <v>530000</v>
      </c>
      <c r="F65" s="346">
        <f aca="true" t="shared" si="13" ref="F65:K65">SUM(F66:F67)</f>
        <v>530000</v>
      </c>
      <c r="G65" s="346">
        <f t="shared" si="13"/>
        <v>0</v>
      </c>
      <c r="H65" s="346">
        <f t="shared" si="13"/>
        <v>0</v>
      </c>
      <c r="I65" s="346">
        <f t="shared" si="13"/>
        <v>0</v>
      </c>
      <c r="J65" s="346">
        <f t="shared" si="13"/>
        <v>0</v>
      </c>
      <c r="K65" s="346">
        <f t="shared" si="13"/>
        <v>0</v>
      </c>
      <c r="L65" s="349"/>
      <c r="M65" s="349"/>
      <c r="N65" s="349"/>
      <c r="O65" s="349"/>
    </row>
    <row r="66" spans="1:15" ht="11.25">
      <c r="A66" s="30"/>
      <c r="B66" s="29" t="s">
        <v>95</v>
      </c>
      <c r="C66" s="63" t="s">
        <v>256</v>
      </c>
      <c r="D66" s="349">
        <f t="shared" si="11"/>
        <v>480000</v>
      </c>
      <c r="E66" s="349">
        <f t="shared" si="12"/>
        <v>480000</v>
      </c>
      <c r="F66" s="349">
        <v>480000</v>
      </c>
      <c r="G66" s="349"/>
      <c r="H66" s="349"/>
      <c r="I66" s="349"/>
      <c r="J66" s="349"/>
      <c r="K66" s="349"/>
      <c r="L66" s="349"/>
      <c r="M66" s="349"/>
      <c r="N66" s="349"/>
      <c r="O66" s="349"/>
    </row>
    <row r="67" spans="1:15" ht="45">
      <c r="A67" s="30"/>
      <c r="B67" s="29" t="s">
        <v>96</v>
      </c>
      <c r="C67" s="352" t="s">
        <v>238</v>
      </c>
      <c r="D67" s="349">
        <f t="shared" si="11"/>
        <v>50000</v>
      </c>
      <c r="E67" s="349">
        <f t="shared" si="12"/>
        <v>50000</v>
      </c>
      <c r="F67" s="349">
        <v>50000</v>
      </c>
      <c r="G67" s="349"/>
      <c r="H67" s="349"/>
      <c r="I67" s="349"/>
      <c r="J67" s="349"/>
      <c r="K67" s="349"/>
      <c r="L67" s="349"/>
      <c r="M67" s="349"/>
      <c r="N67" s="349"/>
      <c r="O67" s="349"/>
    </row>
    <row r="68" spans="1:15" ht="31.5">
      <c r="A68" s="30"/>
      <c r="B68" s="59" t="s">
        <v>261</v>
      </c>
      <c r="C68" s="62" t="s">
        <v>257</v>
      </c>
      <c r="D68" s="346">
        <f t="shared" si="11"/>
        <v>18067263</v>
      </c>
      <c r="E68" s="346">
        <f t="shared" si="12"/>
        <v>18067263</v>
      </c>
      <c r="F68" s="346">
        <f aca="true" t="shared" si="14" ref="F68:K68">SUM(F69:F70)</f>
        <v>18067263</v>
      </c>
      <c r="G68" s="346">
        <f t="shared" si="14"/>
        <v>0</v>
      </c>
      <c r="H68" s="346">
        <f t="shared" si="14"/>
        <v>0</v>
      </c>
      <c r="I68" s="346">
        <f t="shared" si="14"/>
        <v>0</v>
      </c>
      <c r="J68" s="346">
        <f t="shared" si="14"/>
        <v>0</v>
      </c>
      <c r="K68" s="346">
        <f t="shared" si="14"/>
        <v>0</v>
      </c>
      <c r="L68" s="349"/>
      <c r="M68" s="349"/>
      <c r="N68" s="349"/>
      <c r="O68" s="349"/>
    </row>
    <row r="69" spans="1:15" ht="22.5">
      <c r="A69" s="30"/>
      <c r="B69" s="29" t="s">
        <v>97</v>
      </c>
      <c r="C69" s="63" t="s">
        <v>258</v>
      </c>
      <c r="D69" s="349">
        <f t="shared" si="11"/>
        <v>17367263</v>
      </c>
      <c r="E69" s="349">
        <f t="shared" si="12"/>
        <v>17367263</v>
      </c>
      <c r="F69" s="349">
        <v>17367263</v>
      </c>
      <c r="G69" s="349"/>
      <c r="H69" s="349"/>
      <c r="I69" s="349"/>
      <c r="J69" s="349"/>
      <c r="K69" s="349"/>
      <c r="L69" s="349"/>
      <c r="M69" s="349"/>
      <c r="N69" s="349"/>
      <c r="O69" s="349"/>
    </row>
    <row r="70" spans="1:15" ht="22.5">
      <c r="A70" s="30"/>
      <c r="B70" s="29" t="s">
        <v>118</v>
      </c>
      <c r="C70" s="63" t="s">
        <v>259</v>
      </c>
      <c r="D70" s="349">
        <f t="shared" si="11"/>
        <v>700000</v>
      </c>
      <c r="E70" s="349">
        <f t="shared" si="12"/>
        <v>700000</v>
      </c>
      <c r="F70" s="349">
        <v>700000</v>
      </c>
      <c r="G70" s="349"/>
      <c r="H70" s="349"/>
      <c r="I70" s="349"/>
      <c r="J70" s="349"/>
      <c r="K70" s="349"/>
      <c r="L70" s="349"/>
      <c r="M70" s="349"/>
      <c r="N70" s="349"/>
      <c r="O70" s="349"/>
    </row>
    <row r="71" spans="1:15" ht="11.25">
      <c r="A71" s="31">
        <v>758</v>
      </c>
      <c r="B71" s="28"/>
      <c r="C71" s="14" t="s">
        <v>98</v>
      </c>
      <c r="D71" s="346">
        <f t="shared" si="11"/>
        <v>14171459</v>
      </c>
      <c r="E71" s="346">
        <f t="shared" si="12"/>
        <v>14171459</v>
      </c>
      <c r="F71" s="346">
        <f>SUM(F72,F74,F76)</f>
        <v>14171459</v>
      </c>
      <c r="G71" s="346">
        <f>SUM(G73:G75)</f>
        <v>0</v>
      </c>
      <c r="H71" s="346">
        <f>SUM(H73:H75)</f>
        <v>0</v>
      </c>
      <c r="I71" s="346">
        <f>SUM(I73:I75)</f>
        <v>0</v>
      </c>
      <c r="J71" s="346">
        <f>SUM(J73:J75)</f>
        <v>0</v>
      </c>
      <c r="K71" s="346">
        <f>SUM(K73:K75)</f>
        <v>0</v>
      </c>
      <c r="L71" s="346"/>
      <c r="M71" s="346"/>
      <c r="N71" s="346"/>
      <c r="O71" s="346"/>
    </row>
    <row r="72" spans="1:15" ht="33.75" customHeight="1">
      <c r="A72" s="31"/>
      <c r="B72" s="28" t="s">
        <v>262</v>
      </c>
      <c r="C72" s="62" t="s">
        <v>264</v>
      </c>
      <c r="D72" s="349">
        <f t="shared" si="11"/>
        <v>13809079</v>
      </c>
      <c r="E72" s="349">
        <f aca="true" t="shared" si="15" ref="E72:E99">SUM(F72:J72)</f>
        <v>13809079</v>
      </c>
      <c r="F72" s="346">
        <f>SUM(F73)</f>
        <v>13809079</v>
      </c>
      <c r="G72" s="346"/>
      <c r="H72" s="346"/>
      <c r="I72" s="346"/>
      <c r="J72" s="346"/>
      <c r="K72" s="346"/>
      <c r="L72" s="346"/>
      <c r="M72" s="346"/>
      <c r="N72" s="346"/>
      <c r="O72" s="346"/>
    </row>
    <row r="73" spans="1:15" ht="22.5">
      <c r="A73" s="30"/>
      <c r="B73" s="29" t="s">
        <v>99</v>
      </c>
      <c r="C73" s="16" t="s">
        <v>100</v>
      </c>
      <c r="D73" s="349">
        <f t="shared" si="11"/>
        <v>13809079</v>
      </c>
      <c r="E73" s="349">
        <f t="shared" si="15"/>
        <v>13809079</v>
      </c>
      <c r="F73" s="349">
        <v>13809079</v>
      </c>
      <c r="G73" s="349"/>
      <c r="H73" s="349"/>
      <c r="I73" s="349"/>
      <c r="J73" s="349"/>
      <c r="K73" s="349"/>
      <c r="L73" s="349"/>
      <c r="M73" s="349"/>
      <c r="N73" s="349"/>
      <c r="O73" s="349"/>
    </row>
    <row r="74" spans="1:15" ht="21">
      <c r="A74" s="30"/>
      <c r="B74" s="59" t="s">
        <v>263</v>
      </c>
      <c r="C74" s="358" t="s">
        <v>101</v>
      </c>
      <c r="D74" s="348">
        <f t="shared" si="11"/>
        <v>250000</v>
      </c>
      <c r="E74" s="348">
        <f>SUM(F74:J74)</f>
        <v>250000</v>
      </c>
      <c r="F74" s="346">
        <f>SUM(F75)</f>
        <v>250000</v>
      </c>
      <c r="G74" s="349"/>
      <c r="H74" s="349"/>
      <c r="I74" s="349"/>
      <c r="J74" s="349"/>
      <c r="K74" s="349"/>
      <c r="L74" s="349"/>
      <c r="M74" s="349"/>
      <c r="N74" s="349"/>
      <c r="O74" s="349"/>
    </row>
    <row r="75" spans="1:15" ht="11.25" customHeight="1">
      <c r="A75" s="30"/>
      <c r="B75" s="29" t="s">
        <v>102</v>
      </c>
      <c r="C75" s="16" t="s">
        <v>103</v>
      </c>
      <c r="D75" s="349">
        <f t="shared" si="11"/>
        <v>250000</v>
      </c>
      <c r="E75" s="349">
        <f t="shared" si="15"/>
        <v>250000</v>
      </c>
      <c r="F75" s="349">
        <v>250000</v>
      </c>
      <c r="G75" s="349"/>
      <c r="H75" s="349"/>
      <c r="I75" s="349"/>
      <c r="J75" s="349"/>
      <c r="K75" s="349"/>
      <c r="L75" s="349"/>
      <c r="M75" s="349"/>
      <c r="N75" s="349"/>
      <c r="O75" s="349"/>
    </row>
    <row r="76" spans="1:15" ht="31.5">
      <c r="A76" s="30"/>
      <c r="B76" s="59" t="s">
        <v>266</v>
      </c>
      <c r="C76" s="358" t="s">
        <v>265</v>
      </c>
      <c r="D76" s="348">
        <f t="shared" si="11"/>
        <v>112380</v>
      </c>
      <c r="E76" s="348">
        <f>SUM(F76:J76)</f>
        <v>112380</v>
      </c>
      <c r="F76" s="346">
        <f>SUM(F77)</f>
        <v>112380</v>
      </c>
      <c r="G76" s="349"/>
      <c r="H76" s="349"/>
      <c r="I76" s="349"/>
      <c r="J76" s="349"/>
      <c r="K76" s="349"/>
      <c r="L76" s="349"/>
      <c r="M76" s="349"/>
      <c r="N76" s="349"/>
      <c r="O76" s="349"/>
    </row>
    <row r="77" spans="1:15" ht="22.5">
      <c r="A77" s="30"/>
      <c r="B77" s="29" t="s">
        <v>99</v>
      </c>
      <c r="C77" s="16" t="s">
        <v>100</v>
      </c>
      <c r="D77" s="349">
        <f t="shared" si="11"/>
        <v>112380</v>
      </c>
      <c r="E77" s="349">
        <f>SUM(F77:J77)</f>
        <v>112380</v>
      </c>
      <c r="F77" s="349">
        <v>112380</v>
      </c>
      <c r="G77" s="349"/>
      <c r="H77" s="349"/>
      <c r="I77" s="349"/>
      <c r="J77" s="349"/>
      <c r="K77" s="349"/>
      <c r="L77" s="349"/>
      <c r="M77" s="349"/>
      <c r="N77" s="349"/>
      <c r="O77" s="349"/>
    </row>
    <row r="78" spans="1:15" ht="11.25">
      <c r="A78" s="31">
        <v>801</v>
      </c>
      <c r="B78" s="28"/>
      <c r="C78" s="14" t="s">
        <v>104</v>
      </c>
      <c r="D78" s="448">
        <f t="shared" si="11"/>
        <v>2200903.87</v>
      </c>
      <c r="E78" s="448">
        <f>SUM(F78:J78)</f>
        <v>2000903.87</v>
      </c>
      <c r="F78" s="448">
        <f aca="true" t="shared" si="16" ref="F78:O78">SUM(F79,F81,F85,F87)</f>
        <v>1578345</v>
      </c>
      <c r="G78" s="448">
        <f t="shared" si="16"/>
        <v>0</v>
      </c>
      <c r="H78" s="448">
        <f t="shared" si="16"/>
        <v>0</v>
      </c>
      <c r="I78" s="448">
        <f t="shared" si="16"/>
        <v>0</v>
      </c>
      <c r="J78" s="448">
        <f t="shared" si="16"/>
        <v>422558.87</v>
      </c>
      <c r="K78" s="448">
        <f t="shared" si="16"/>
        <v>200000</v>
      </c>
      <c r="L78" s="448">
        <f t="shared" si="16"/>
        <v>0</v>
      </c>
      <c r="M78" s="448">
        <f t="shared" si="16"/>
        <v>0</v>
      </c>
      <c r="N78" s="470">
        <f t="shared" si="16"/>
        <v>200000</v>
      </c>
      <c r="O78" s="448">
        <f t="shared" si="16"/>
        <v>0</v>
      </c>
    </row>
    <row r="79" spans="1:15" ht="11.25">
      <c r="A79" s="31"/>
      <c r="B79" s="28" t="s">
        <v>267</v>
      </c>
      <c r="C79" s="14" t="s">
        <v>152</v>
      </c>
      <c r="D79" s="346">
        <f t="shared" si="11"/>
        <v>21070</v>
      </c>
      <c r="E79" s="346">
        <f t="shared" si="15"/>
        <v>21070</v>
      </c>
      <c r="F79" s="346">
        <f>SUM(F80)</f>
        <v>21070</v>
      </c>
      <c r="G79" s="346"/>
      <c r="H79" s="346"/>
      <c r="I79" s="346"/>
      <c r="J79" s="346"/>
      <c r="K79" s="346"/>
      <c r="L79" s="346"/>
      <c r="M79" s="346"/>
      <c r="N79" s="346"/>
      <c r="O79" s="346"/>
    </row>
    <row r="80" spans="1:15" ht="11.25">
      <c r="A80" s="31"/>
      <c r="B80" s="29" t="s">
        <v>58</v>
      </c>
      <c r="C80" s="16" t="s">
        <v>59</v>
      </c>
      <c r="D80" s="346">
        <f aca="true" t="shared" si="17" ref="D80:D87">SUM(E80,K80)</f>
        <v>21070</v>
      </c>
      <c r="E80" s="346">
        <f t="shared" si="15"/>
        <v>21070</v>
      </c>
      <c r="F80" s="346">
        <v>21070</v>
      </c>
      <c r="G80" s="346"/>
      <c r="H80" s="346"/>
      <c r="I80" s="346"/>
      <c r="J80" s="346"/>
      <c r="K80" s="346"/>
      <c r="L80" s="346"/>
      <c r="M80" s="346"/>
      <c r="N80" s="346"/>
      <c r="O80" s="346"/>
    </row>
    <row r="81" spans="1:15" ht="11.25">
      <c r="A81" s="31"/>
      <c r="B81" s="28" t="s">
        <v>268</v>
      </c>
      <c r="C81" s="14" t="s">
        <v>269</v>
      </c>
      <c r="D81" s="346">
        <f t="shared" si="17"/>
        <v>1266300</v>
      </c>
      <c r="E81" s="346">
        <f t="shared" si="15"/>
        <v>1266300</v>
      </c>
      <c r="F81" s="346">
        <f>SUM(F82:F84)</f>
        <v>1266300</v>
      </c>
      <c r="G81" s="346"/>
      <c r="H81" s="346"/>
      <c r="I81" s="346"/>
      <c r="J81" s="346"/>
      <c r="K81" s="346"/>
      <c r="L81" s="346"/>
      <c r="M81" s="346"/>
      <c r="N81" s="346"/>
      <c r="O81" s="346"/>
    </row>
    <row r="82" spans="1:15" ht="90">
      <c r="A82" s="31"/>
      <c r="B82" s="60" t="s">
        <v>68</v>
      </c>
      <c r="C82" s="352" t="s">
        <v>239</v>
      </c>
      <c r="D82" s="347">
        <f t="shared" si="17"/>
        <v>7900</v>
      </c>
      <c r="E82" s="347">
        <f t="shared" si="15"/>
        <v>7900</v>
      </c>
      <c r="F82" s="347">
        <v>7900</v>
      </c>
      <c r="G82" s="346"/>
      <c r="H82" s="346"/>
      <c r="I82" s="346"/>
      <c r="J82" s="346"/>
      <c r="K82" s="346"/>
      <c r="L82" s="346"/>
      <c r="M82" s="346"/>
      <c r="N82" s="346"/>
      <c r="O82" s="346"/>
    </row>
    <row r="83" spans="1:15" ht="11.25">
      <c r="A83" s="31"/>
      <c r="B83" s="29" t="s">
        <v>58</v>
      </c>
      <c r="C83" s="16" t="s">
        <v>59</v>
      </c>
      <c r="D83" s="347">
        <f t="shared" si="17"/>
        <v>1257200</v>
      </c>
      <c r="E83" s="347">
        <f t="shared" si="15"/>
        <v>1257200</v>
      </c>
      <c r="F83" s="347">
        <v>1257200</v>
      </c>
      <c r="G83" s="346"/>
      <c r="H83" s="346"/>
      <c r="I83" s="346"/>
      <c r="J83" s="346"/>
      <c r="K83" s="346"/>
      <c r="L83" s="346"/>
      <c r="M83" s="346"/>
      <c r="N83" s="346"/>
      <c r="O83" s="346"/>
    </row>
    <row r="84" spans="1:15" ht="11.25">
      <c r="A84" s="31"/>
      <c r="B84" s="29" t="s">
        <v>102</v>
      </c>
      <c r="C84" s="16" t="s">
        <v>103</v>
      </c>
      <c r="D84" s="347">
        <f t="shared" si="17"/>
        <v>1200</v>
      </c>
      <c r="E84" s="347">
        <f t="shared" si="15"/>
        <v>1200</v>
      </c>
      <c r="F84" s="347">
        <v>1200</v>
      </c>
      <c r="G84" s="346"/>
      <c r="H84" s="346"/>
      <c r="I84" s="346"/>
      <c r="J84" s="346"/>
      <c r="K84" s="346"/>
      <c r="L84" s="346"/>
      <c r="M84" s="346"/>
      <c r="N84" s="346"/>
      <c r="O84" s="346"/>
    </row>
    <row r="85" spans="1:15" ht="11.25">
      <c r="A85" s="31"/>
      <c r="B85" s="28" t="s">
        <v>270</v>
      </c>
      <c r="C85" s="14" t="s">
        <v>113</v>
      </c>
      <c r="D85" s="346">
        <f t="shared" si="17"/>
        <v>237565</v>
      </c>
      <c r="E85" s="346">
        <f t="shared" si="15"/>
        <v>237565</v>
      </c>
      <c r="F85" s="346">
        <f>SUM(F86)</f>
        <v>237565</v>
      </c>
      <c r="G85" s="346"/>
      <c r="H85" s="346"/>
      <c r="I85" s="346"/>
      <c r="J85" s="346"/>
      <c r="K85" s="346"/>
      <c r="L85" s="346"/>
      <c r="M85" s="346"/>
      <c r="N85" s="346"/>
      <c r="O85" s="346"/>
    </row>
    <row r="86" spans="1:15" ht="11.25">
      <c r="A86" s="31"/>
      <c r="B86" s="29" t="s">
        <v>58</v>
      </c>
      <c r="C86" s="16" t="s">
        <v>59</v>
      </c>
      <c r="D86" s="347">
        <f t="shared" si="17"/>
        <v>237565</v>
      </c>
      <c r="E86" s="347">
        <f t="shared" si="15"/>
        <v>237565</v>
      </c>
      <c r="F86" s="347">
        <v>237565</v>
      </c>
      <c r="G86" s="346"/>
      <c r="H86" s="346"/>
      <c r="I86" s="346"/>
      <c r="J86" s="346"/>
      <c r="K86" s="346"/>
      <c r="L86" s="346"/>
      <c r="M86" s="346"/>
      <c r="N86" s="346"/>
      <c r="O86" s="346"/>
    </row>
    <row r="87" spans="1:15" ht="11.25">
      <c r="A87" s="31"/>
      <c r="B87" s="28" t="s">
        <v>456</v>
      </c>
      <c r="C87" s="14" t="s">
        <v>57</v>
      </c>
      <c r="D87" s="448">
        <f t="shared" si="17"/>
        <v>675968.87</v>
      </c>
      <c r="E87" s="448">
        <f t="shared" si="15"/>
        <v>475968.87</v>
      </c>
      <c r="F87" s="448">
        <f aca="true" t="shared" si="18" ref="F87:O87">SUM(F88:F90)</f>
        <v>53410</v>
      </c>
      <c r="G87" s="448">
        <f t="shared" si="18"/>
        <v>0</v>
      </c>
      <c r="H87" s="448">
        <f t="shared" si="18"/>
        <v>0</v>
      </c>
      <c r="I87" s="448">
        <f t="shared" si="18"/>
        <v>0</v>
      </c>
      <c r="J87" s="448">
        <f t="shared" si="18"/>
        <v>422558.87</v>
      </c>
      <c r="K87" s="346">
        <f t="shared" si="18"/>
        <v>200000</v>
      </c>
      <c r="L87" s="346">
        <f t="shared" si="18"/>
        <v>0</v>
      </c>
      <c r="M87" s="346">
        <f t="shared" si="18"/>
        <v>0</v>
      </c>
      <c r="N87" s="346">
        <f t="shared" si="18"/>
        <v>200000</v>
      </c>
      <c r="O87" s="346">
        <f t="shared" si="18"/>
        <v>0</v>
      </c>
    </row>
    <row r="88" spans="1:15" ht="90">
      <c r="A88" s="30"/>
      <c r="B88" s="60" t="s">
        <v>68</v>
      </c>
      <c r="C88" s="352" t="s">
        <v>239</v>
      </c>
      <c r="D88" s="449">
        <f aca="true" t="shared" si="19" ref="D88:D95">SUM(E88,K88)</f>
        <v>53410</v>
      </c>
      <c r="E88" s="449">
        <f t="shared" si="15"/>
        <v>53410</v>
      </c>
      <c r="F88" s="449">
        <v>53410</v>
      </c>
      <c r="G88" s="449"/>
      <c r="H88" s="449"/>
      <c r="I88" s="449"/>
      <c r="J88" s="449"/>
      <c r="K88" s="349"/>
      <c r="L88" s="349"/>
      <c r="M88" s="349"/>
      <c r="N88" s="349"/>
      <c r="O88" s="349"/>
    </row>
    <row r="89" spans="1:15" ht="33.75">
      <c r="A89" s="30"/>
      <c r="B89" s="60" t="s">
        <v>533</v>
      </c>
      <c r="C89" s="447" t="s">
        <v>534</v>
      </c>
      <c r="D89" s="450">
        <f>SUM(E89,K89)</f>
        <v>422558.87</v>
      </c>
      <c r="E89" s="450">
        <f>SUM(F89:J89)</f>
        <v>422558.87</v>
      </c>
      <c r="F89" s="450"/>
      <c r="G89" s="450"/>
      <c r="H89" s="450"/>
      <c r="I89" s="450"/>
      <c r="J89" s="450">
        <v>422558.87</v>
      </c>
      <c r="K89" s="347">
        <f>SUM(L89:O89)</f>
        <v>0</v>
      </c>
      <c r="L89" s="349"/>
      <c r="M89" s="349"/>
      <c r="N89" s="349"/>
      <c r="O89" s="349"/>
    </row>
    <row r="90" spans="1:15" ht="67.5">
      <c r="A90" s="30"/>
      <c r="B90" s="60" t="s">
        <v>540</v>
      </c>
      <c r="C90" s="464" t="s">
        <v>541</v>
      </c>
      <c r="D90" s="450">
        <f t="shared" si="19"/>
        <v>200000</v>
      </c>
      <c r="E90" s="450">
        <f>SUM(F90:J90)</f>
        <v>0</v>
      </c>
      <c r="F90" s="450"/>
      <c r="G90" s="450"/>
      <c r="H90" s="450"/>
      <c r="I90" s="450"/>
      <c r="J90" s="450" t="s">
        <v>227</v>
      </c>
      <c r="K90" s="347">
        <f>SUM(L90:O90)</f>
        <v>200000</v>
      </c>
      <c r="L90" s="347"/>
      <c r="M90" s="347"/>
      <c r="N90" s="347">
        <v>200000</v>
      </c>
      <c r="O90" s="347" t="s">
        <v>227</v>
      </c>
    </row>
    <row r="91" spans="1:15" ht="11.25">
      <c r="A91" s="31">
        <v>851</v>
      </c>
      <c r="B91" s="28"/>
      <c r="C91" s="14" t="s">
        <v>105</v>
      </c>
      <c r="D91" s="346">
        <f t="shared" si="19"/>
        <v>610000</v>
      </c>
      <c r="E91" s="346">
        <f aca="true" t="shared" si="20" ref="E91:E97">SUM(F91:J91)</f>
        <v>610000</v>
      </c>
      <c r="F91" s="346">
        <f>SUM(F92)</f>
        <v>610000</v>
      </c>
      <c r="G91" s="346">
        <f>SUM(G93)</f>
        <v>0</v>
      </c>
      <c r="H91" s="346">
        <f>SUM(H93)</f>
        <v>0</v>
      </c>
      <c r="I91" s="346">
        <f>SUM(I93)</f>
        <v>0</v>
      </c>
      <c r="J91" s="346">
        <f>SUM(J93)</f>
        <v>0</v>
      </c>
      <c r="K91" s="346">
        <f>SUM(K93)</f>
        <v>0</v>
      </c>
      <c r="L91" s="346">
        <f>SUM(M93)</f>
        <v>0</v>
      </c>
      <c r="M91" s="346">
        <f>SUM(O93)</f>
        <v>0</v>
      </c>
      <c r="N91" s="346"/>
      <c r="O91" s="346">
        <f>SUM(P93)</f>
        <v>0</v>
      </c>
    </row>
    <row r="92" spans="1:15" ht="12.75" customHeight="1">
      <c r="A92" s="31"/>
      <c r="B92" s="28" t="s">
        <v>285</v>
      </c>
      <c r="C92" s="358" t="s">
        <v>106</v>
      </c>
      <c r="D92" s="346">
        <f t="shared" si="19"/>
        <v>610000</v>
      </c>
      <c r="E92" s="346">
        <f t="shared" si="20"/>
        <v>610000</v>
      </c>
      <c r="F92" s="346">
        <f>SUM(F93:F93)</f>
        <v>610000</v>
      </c>
      <c r="G92" s="346"/>
      <c r="H92" s="346"/>
      <c r="I92" s="346"/>
      <c r="J92" s="346"/>
      <c r="K92" s="346"/>
      <c r="L92" s="346"/>
      <c r="M92" s="346"/>
      <c r="N92" s="346"/>
      <c r="O92" s="346"/>
    </row>
    <row r="93" spans="1:15" ht="24.75" customHeight="1">
      <c r="A93" s="30"/>
      <c r="B93" s="29" t="s">
        <v>107</v>
      </c>
      <c r="C93" s="16" t="s">
        <v>108</v>
      </c>
      <c r="D93" s="349">
        <f t="shared" si="19"/>
        <v>610000</v>
      </c>
      <c r="E93" s="347">
        <f t="shared" si="20"/>
        <v>610000</v>
      </c>
      <c r="F93" s="347">
        <v>610000</v>
      </c>
      <c r="G93" s="349"/>
      <c r="H93" s="349"/>
      <c r="I93" s="349"/>
      <c r="J93" s="349"/>
      <c r="K93" s="349"/>
      <c r="L93" s="349"/>
      <c r="M93" s="349"/>
      <c r="N93" s="349"/>
      <c r="O93" s="349"/>
    </row>
    <row r="94" spans="1:15" ht="11.25">
      <c r="A94" s="31">
        <v>852</v>
      </c>
      <c r="B94" s="28"/>
      <c r="C94" s="14" t="s">
        <v>109</v>
      </c>
      <c r="D94" s="346">
        <f t="shared" si="19"/>
        <v>6904213</v>
      </c>
      <c r="E94" s="346">
        <f t="shared" si="20"/>
        <v>6904213</v>
      </c>
      <c r="F94" s="346">
        <f>SUM(F95,F97,F101,F104,F107,F109,F114)</f>
        <v>873162</v>
      </c>
      <c r="G94" s="346">
        <f>SUM(G95,G97,G101,G107,G114)</f>
        <v>6031051</v>
      </c>
      <c r="H94" s="346">
        <f>SUM(H98:H100)</f>
        <v>0</v>
      </c>
      <c r="I94" s="346">
        <f>SUM(I98:I100)</f>
        <v>0</v>
      </c>
      <c r="J94" s="346">
        <f>SUM(J98:J100)</f>
        <v>0</v>
      </c>
      <c r="K94" s="346">
        <f>SUM(K98:K100)</f>
        <v>0</v>
      </c>
      <c r="L94" s="346"/>
      <c r="M94" s="346"/>
      <c r="N94" s="346"/>
      <c r="O94" s="346"/>
    </row>
    <row r="95" spans="1:15" ht="11.25">
      <c r="A95" s="31"/>
      <c r="B95" s="28" t="s">
        <v>271</v>
      </c>
      <c r="C95" s="14" t="s">
        <v>388</v>
      </c>
      <c r="D95" s="346">
        <f t="shared" si="19"/>
        <v>253800</v>
      </c>
      <c r="E95" s="346">
        <f t="shared" si="20"/>
        <v>253800</v>
      </c>
      <c r="F95" s="346">
        <f>SUM(F96)</f>
        <v>0</v>
      </c>
      <c r="G95" s="346">
        <f>SUM(G96)</f>
        <v>253800</v>
      </c>
      <c r="H95" s="346"/>
      <c r="I95" s="346"/>
      <c r="J95" s="346"/>
      <c r="K95" s="346"/>
      <c r="L95" s="346"/>
      <c r="M95" s="346"/>
      <c r="N95" s="346"/>
      <c r="O95" s="346"/>
    </row>
    <row r="96" spans="1:15" ht="78.75">
      <c r="A96" s="31"/>
      <c r="B96" s="29" t="s">
        <v>72</v>
      </c>
      <c r="C96" s="16" t="s">
        <v>439</v>
      </c>
      <c r="D96" s="349">
        <f aca="true" t="shared" si="21" ref="D96:D109">SUM(E96,K96)</f>
        <v>253800</v>
      </c>
      <c r="E96" s="347">
        <f t="shared" si="20"/>
        <v>253800</v>
      </c>
      <c r="F96" s="346"/>
      <c r="G96" s="347">
        <v>253800</v>
      </c>
      <c r="H96" s="346"/>
      <c r="I96" s="346"/>
      <c r="J96" s="346"/>
      <c r="K96" s="346"/>
      <c r="L96" s="346"/>
      <c r="M96" s="346"/>
      <c r="N96" s="346"/>
      <c r="O96" s="346"/>
    </row>
    <row r="97" spans="1:15" ht="78.75">
      <c r="A97" s="31"/>
      <c r="B97" s="28" t="s">
        <v>272</v>
      </c>
      <c r="C97" s="57" t="s">
        <v>119</v>
      </c>
      <c r="D97" s="346">
        <f t="shared" si="21"/>
        <v>5393664</v>
      </c>
      <c r="E97" s="346">
        <f t="shared" si="20"/>
        <v>5393664</v>
      </c>
      <c r="F97" s="346">
        <f>SUM(F98:F100)</f>
        <v>60000</v>
      </c>
      <c r="G97" s="346">
        <f>SUM(G98:G100)</f>
        <v>5333664</v>
      </c>
      <c r="H97" s="346"/>
      <c r="I97" s="346"/>
      <c r="J97" s="346"/>
      <c r="K97" s="346"/>
      <c r="L97" s="346"/>
      <c r="M97" s="346"/>
      <c r="N97" s="346"/>
      <c r="O97" s="346"/>
    </row>
    <row r="98" spans="1:15" ht="22.5">
      <c r="A98" s="30"/>
      <c r="B98" s="29" t="s">
        <v>74</v>
      </c>
      <c r="C98" s="16" t="s">
        <v>75</v>
      </c>
      <c r="D98" s="349">
        <f t="shared" si="21"/>
        <v>10000</v>
      </c>
      <c r="E98" s="349">
        <f t="shared" si="15"/>
        <v>10000</v>
      </c>
      <c r="F98" s="349">
        <v>10000</v>
      </c>
      <c r="G98" s="349" t="s">
        <v>227</v>
      </c>
      <c r="H98" s="349"/>
      <c r="I98" s="349"/>
      <c r="J98" s="349"/>
      <c r="K98" s="349"/>
      <c r="L98" s="349"/>
      <c r="M98" s="349"/>
      <c r="N98" s="349"/>
      <c r="O98" s="349"/>
    </row>
    <row r="99" spans="1:15" ht="33.75">
      <c r="A99" s="30"/>
      <c r="B99" s="29" t="s">
        <v>273</v>
      </c>
      <c r="C99" s="63" t="s">
        <v>440</v>
      </c>
      <c r="D99" s="349">
        <f t="shared" si="21"/>
        <v>50000</v>
      </c>
      <c r="E99" s="349">
        <f t="shared" si="15"/>
        <v>50000</v>
      </c>
      <c r="F99" s="349">
        <v>50000</v>
      </c>
      <c r="G99" s="349"/>
      <c r="H99" s="349"/>
      <c r="I99" s="349"/>
      <c r="J99" s="349"/>
      <c r="K99" s="349"/>
      <c r="L99" s="349"/>
      <c r="M99" s="349"/>
      <c r="N99" s="349"/>
      <c r="O99" s="349"/>
    </row>
    <row r="100" spans="1:15" ht="78.75">
      <c r="A100" s="34"/>
      <c r="B100" s="29" t="s">
        <v>72</v>
      </c>
      <c r="C100" s="16" t="s">
        <v>439</v>
      </c>
      <c r="D100" s="349">
        <f t="shared" si="21"/>
        <v>5333664</v>
      </c>
      <c r="E100" s="347">
        <f aca="true" t="shared" si="22" ref="E100:E106">SUM(F100:J100)</f>
        <v>5333664</v>
      </c>
      <c r="F100" s="349"/>
      <c r="G100" s="349">
        <v>5333664</v>
      </c>
      <c r="H100" s="349"/>
      <c r="I100" s="349"/>
      <c r="J100" s="349"/>
      <c r="K100" s="349"/>
      <c r="L100" s="349"/>
      <c r="M100" s="349"/>
      <c r="N100" s="349"/>
      <c r="O100" s="349"/>
    </row>
    <row r="101" spans="1:15" ht="106.5" customHeight="1">
      <c r="A101" s="61" t="s">
        <v>227</v>
      </c>
      <c r="B101" s="65">
        <v>85213</v>
      </c>
      <c r="C101" s="64" t="s">
        <v>274</v>
      </c>
      <c r="D101" s="346">
        <f t="shared" si="21"/>
        <v>31369</v>
      </c>
      <c r="E101" s="346">
        <f t="shared" si="22"/>
        <v>31369</v>
      </c>
      <c r="F101" s="346">
        <f>SUM(F102:F103)</f>
        <v>25388</v>
      </c>
      <c r="G101" s="346">
        <f>SUM(G102:G103)</f>
        <v>5981</v>
      </c>
      <c r="H101" s="349"/>
      <c r="I101" s="349"/>
      <c r="J101" s="349"/>
      <c r="K101" s="349"/>
      <c r="L101" s="349"/>
      <c r="M101" s="349"/>
      <c r="N101" s="349"/>
      <c r="O101" s="349"/>
    </row>
    <row r="102" spans="1:15" ht="78.75">
      <c r="A102" s="34"/>
      <c r="B102" s="29" t="s">
        <v>72</v>
      </c>
      <c r="C102" s="16" t="s">
        <v>439</v>
      </c>
      <c r="D102" s="349">
        <f t="shared" si="21"/>
        <v>5981</v>
      </c>
      <c r="E102" s="347">
        <f t="shared" si="22"/>
        <v>5981</v>
      </c>
      <c r="F102" s="349"/>
      <c r="G102" s="349">
        <v>5981</v>
      </c>
      <c r="H102" s="349"/>
      <c r="I102" s="349"/>
      <c r="J102" s="349"/>
      <c r="K102" s="349"/>
      <c r="L102" s="349"/>
      <c r="M102" s="349"/>
      <c r="N102" s="349"/>
      <c r="O102" s="349"/>
    </row>
    <row r="103" spans="1:15" ht="45">
      <c r="A103" s="34"/>
      <c r="B103" s="29" t="s">
        <v>110</v>
      </c>
      <c r="C103" s="16" t="s">
        <v>111</v>
      </c>
      <c r="D103" s="349">
        <f t="shared" si="21"/>
        <v>25388</v>
      </c>
      <c r="E103" s="349">
        <f t="shared" si="22"/>
        <v>25388</v>
      </c>
      <c r="F103" s="349">
        <v>25388</v>
      </c>
      <c r="G103" s="349" t="s">
        <v>227</v>
      </c>
      <c r="H103" s="349"/>
      <c r="I103" s="349"/>
      <c r="J103" s="349"/>
      <c r="K103" s="349"/>
      <c r="L103" s="349"/>
      <c r="M103" s="349"/>
      <c r="N103" s="349"/>
      <c r="O103" s="349"/>
    </row>
    <row r="104" spans="1:15" ht="45">
      <c r="A104" s="34"/>
      <c r="B104" s="59" t="s">
        <v>275</v>
      </c>
      <c r="C104" s="359" t="s">
        <v>286</v>
      </c>
      <c r="D104" s="346">
        <f t="shared" si="21"/>
        <v>91411</v>
      </c>
      <c r="E104" s="346">
        <f t="shared" si="22"/>
        <v>91411</v>
      </c>
      <c r="F104" s="346">
        <f>SUM(F105:F106)</f>
        <v>91411</v>
      </c>
      <c r="G104" s="348"/>
      <c r="H104" s="349"/>
      <c r="I104" s="349"/>
      <c r="J104" s="349"/>
      <c r="K104" s="349"/>
      <c r="L104" s="349"/>
      <c r="M104" s="349"/>
      <c r="N104" s="349"/>
      <c r="O104" s="349"/>
    </row>
    <row r="105" spans="1:15" ht="15" customHeight="1">
      <c r="A105" s="34"/>
      <c r="B105" s="29" t="s">
        <v>74</v>
      </c>
      <c r="C105" s="16" t="s">
        <v>75</v>
      </c>
      <c r="D105" s="349">
        <f t="shared" si="21"/>
        <v>400</v>
      </c>
      <c r="E105" s="349">
        <f t="shared" si="22"/>
        <v>400</v>
      </c>
      <c r="F105" s="349">
        <v>400</v>
      </c>
      <c r="G105" s="349"/>
      <c r="H105" s="349"/>
      <c r="I105" s="349"/>
      <c r="J105" s="349"/>
      <c r="K105" s="349"/>
      <c r="L105" s="349"/>
      <c r="M105" s="349"/>
      <c r="N105" s="349"/>
      <c r="O105" s="349"/>
    </row>
    <row r="106" spans="1:15" ht="45">
      <c r="A106" s="34"/>
      <c r="B106" s="29" t="s">
        <v>110</v>
      </c>
      <c r="C106" s="16" t="s">
        <v>111</v>
      </c>
      <c r="D106" s="349">
        <f t="shared" si="21"/>
        <v>91011</v>
      </c>
      <c r="E106" s="349">
        <f t="shared" si="22"/>
        <v>91011</v>
      </c>
      <c r="F106" s="349">
        <v>91011</v>
      </c>
      <c r="G106" s="349"/>
      <c r="H106" s="349"/>
      <c r="I106" s="349"/>
      <c r="J106" s="349"/>
      <c r="K106" s="349"/>
      <c r="L106" s="349"/>
      <c r="M106" s="349"/>
      <c r="N106" s="349"/>
      <c r="O106" s="349"/>
    </row>
    <row r="107" spans="1:15" ht="11.25">
      <c r="A107" s="34"/>
      <c r="B107" s="59" t="s">
        <v>276</v>
      </c>
      <c r="C107" s="57" t="s">
        <v>120</v>
      </c>
      <c r="D107" s="346">
        <f t="shared" si="21"/>
        <v>325952</v>
      </c>
      <c r="E107" s="346">
        <f>SUM(F107:J107)</f>
        <v>325952</v>
      </c>
      <c r="F107" s="346">
        <f>SUM(F108:F108)</f>
        <v>0</v>
      </c>
      <c r="G107" s="346">
        <f>SUM(G108:G108)</f>
        <v>325952</v>
      </c>
      <c r="H107" s="349"/>
      <c r="I107" s="349"/>
      <c r="J107" s="349"/>
      <c r="K107" s="349"/>
      <c r="L107" s="349"/>
      <c r="M107" s="349"/>
      <c r="N107" s="349"/>
      <c r="O107" s="349"/>
    </row>
    <row r="108" spans="1:15" ht="78.75">
      <c r="A108" s="34"/>
      <c r="B108" s="29" t="s">
        <v>72</v>
      </c>
      <c r="C108" s="16" t="s">
        <v>439</v>
      </c>
      <c r="D108" s="349">
        <f t="shared" si="21"/>
        <v>325952</v>
      </c>
      <c r="E108" s="349">
        <f>SUM(F108:J108)</f>
        <v>325952</v>
      </c>
      <c r="F108" s="349"/>
      <c r="G108" s="349">
        <v>325952</v>
      </c>
      <c r="H108" s="349"/>
      <c r="I108" s="349"/>
      <c r="J108" s="349"/>
      <c r="K108" s="349"/>
      <c r="L108" s="349"/>
      <c r="M108" s="349"/>
      <c r="N108" s="349"/>
      <c r="O108" s="349"/>
    </row>
    <row r="109" spans="1:15" ht="22.5">
      <c r="A109" s="34"/>
      <c r="B109" s="59" t="s">
        <v>277</v>
      </c>
      <c r="C109" s="57" t="s">
        <v>112</v>
      </c>
      <c r="D109" s="346">
        <f t="shared" si="21"/>
        <v>684363</v>
      </c>
      <c r="E109" s="346">
        <f>SUM(F109:J109)</f>
        <v>684363</v>
      </c>
      <c r="F109" s="346">
        <f>SUM(F110:F113)</f>
        <v>684363</v>
      </c>
      <c r="G109" s="348"/>
      <c r="H109" s="349"/>
      <c r="I109" s="349"/>
      <c r="J109" s="349"/>
      <c r="K109" s="349"/>
      <c r="L109" s="349"/>
      <c r="M109" s="349"/>
      <c r="N109" s="349"/>
      <c r="O109" s="349"/>
    </row>
    <row r="110" spans="1:15" ht="90">
      <c r="A110" s="34"/>
      <c r="B110" s="56" t="s">
        <v>68</v>
      </c>
      <c r="C110" s="352" t="s">
        <v>239</v>
      </c>
      <c r="D110" s="349">
        <f aca="true" t="shared" si="23" ref="D110:D116">SUM(E110,K110)</f>
        <v>4800</v>
      </c>
      <c r="E110" s="349">
        <f aca="true" t="shared" si="24" ref="E110:E116">SUM(F110:J110)</f>
        <v>4800</v>
      </c>
      <c r="F110" s="347">
        <v>4800</v>
      </c>
      <c r="G110" s="348"/>
      <c r="H110" s="349"/>
      <c r="I110" s="349"/>
      <c r="J110" s="349"/>
      <c r="K110" s="349"/>
      <c r="L110" s="349"/>
      <c r="M110" s="349"/>
      <c r="N110" s="349"/>
      <c r="O110" s="349"/>
    </row>
    <row r="111" spans="1:15" ht="11.25">
      <c r="A111" s="34"/>
      <c r="B111" s="56" t="s">
        <v>58</v>
      </c>
      <c r="C111" s="353" t="s">
        <v>232</v>
      </c>
      <c r="D111" s="349">
        <f t="shared" si="23"/>
        <v>16500</v>
      </c>
      <c r="E111" s="349">
        <f t="shared" si="24"/>
        <v>16500</v>
      </c>
      <c r="F111" s="347">
        <v>16500</v>
      </c>
      <c r="G111" s="348"/>
      <c r="H111" s="349"/>
      <c r="I111" s="349"/>
      <c r="J111" s="349"/>
      <c r="K111" s="349"/>
      <c r="L111" s="349"/>
      <c r="M111" s="349"/>
      <c r="N111" s="349"/>
      <c r="O111" s="349"/>
    </row>
    <row r="112" spans="1:15" ht="11.25">
      <c r="A112" s="34"/>
      <c r="B112" s="56" t="s">
        <v>102</v>
      </c>
      <c r="C112" s="353" t="s">
        <v>233</v>
      </c>
      <c r="D112" s="349">
        <f t="shared" si="23"/>
        <v>4000</v>
      </c>
      <c r="E112" s="349">
        <f t="shared" si="24"/>
        <v>4000</v>
      </c>
      <c r="F112" s="349">
        <v>4000</v>
      </c>
      <c r="G112" s="349"/>
      <c r="H112" s="349"/>
      <c r="I112" s="349"/>
      <c r="J112" s="349"/>
      <c r="K112" s="349"/>
      <c r="L112" s="349"/>
      <c r="M112" s="349"/>
      <c r="N112" s="349"/>
      <c r="O112" s="349"/>
    </row>
    <row r="113" spans="1:15" ht="45.75" customHeight="1">
      <c r="A113" s="34"/>
      <c r="B113" s="56" t="s">
        <v>110</v>
      </c>
      <c r="C113" s="360" t="s">
        <v>287</v>
      </c>
      <c r="D113" s="349">
        <f t="shared" si="23"/>
        <v>659063</v>
      </c>
      <c r="E113" s="349">
        <f t="shared" si="24"/>
        <v>659063</v>
      </c>
      <c r="F113" s="349">
        <v>659063</v>
      </c>
      <c r="G113" s="349"/>
      <c r="H113" s="349"/>
      <c r="I113" s="349"/>
      <c r="J113" s="349"/>
      <c r="K113" s="349"/>
      <c r="L113" s="349"/>
      <c r="M113" s="349"/>
      <c r="N113" s="349"/>
      <c r="O113" s="349"/>
    </row>
    <row r="114" spans="1:15" ht="33.75">
      <c r="A114" s="34"/>
      <c r="B114" s="59" t="s">
        <v>278</v>
      </c>
      <c r="C114" s="357" t="s">
        <v>157</v>
      </c>
      <c r="D114" s="346">
        <f>SUM(E114,K114)</f>
        <v>123654</v>
      </c>
      <c r="E114" s="346">
        <f>SUM(F114:J114)</f>
        <v>123654</v>
      </c>
      <c r="F114" s="346">
        <f>SUM(F115:F116)</f>
        <v>12000</v>
      </c>
      <c r="G114" s="346">
        <f>SUM(G115:G116)</f>
        <v>111654</v>
      </c>
      <c r="H114" s="349"/>
      <c r="I114" s="349"/>
      <c r="J114" s="349"/>
      <c r="K114" s="349"/>
      <c r="L114" s="349"/>
      <c r="M114" s="349"/>
      <c r="N114" s="349"/>
      <c r="O114" s="349"/>
    </row>
    <row r="115" spans="1:15" ht="11.25">
      <c r="A115" s="34"/>
      <c r="B115" s="29" t="s">
        <v>58</v>
      </c>
      <c r="C115" s="353" t="s">
        <v>232</v>
      </c>
      <c r="D115" s="349">
        <f t="shared" si="23"/>
        <v>12000</v>
      </c>
      <c r="E115" s="349">
        <f t="shared" si="24"/>
        <v>12000</v>
      </c>
      <c r="F115" s="349">
        <v>12000</v>
      </c>
      <c r="G115" s="349"/>
      <c r="H115" s="349"/>
      <c r="I115" s="349"/>
      <c r="J115" s="349"/>
      <c r="K115" s="349"/>
      <c r="L115" s="349"/>
      <c r="M115" s="349"/>
      <c r="N115" s="349"/>
      <c r="O115" s="349"/>
    </row>
    <row r="116" spans="1:15" ht="78.75">
      <c r="A116" s="34"/>
      <c r="B116" s="29" t="s">
        <v>72</v>
      </c>
      <c r="C116" s="16" t="s">
        <v>439</v>
      </c>
      <c r="D116" s="349">
        <f t="shared" si="23"/>
        <v>111654</v>
      </c>
      <c r="E116" s="349">
        <f t="shared" si="24"/>
        <v>111654</v>
      </c>
      <c r="F116" s="349"/>
      <c r="G116" s="349">
        <v>111654</v>
      </c>
      <c r="H116" s="349"/>
      <c r="I116" s="349"/>
      <c r="J116" s="349"/>
      <c r="K116" s="349"/>
      <c r="L116" s="349"/>
      <c r="M116" s="349"/>
      <c r="N116" s="349"/>
      <c r="O116" s="349"/>
    </row>
    <row r="117" spans="1:15" ht="33.75">
      <c r="A117" s="66">
        <v>853</v>
      </c>
      <c r="B117" s="59"/>
      <c r="C117" s="357" t="s">
        <v>281</v>
      </c>
      <c r="D117" s="346">
        <f aca="true" t="shared" si="25" ref="D117:D126">SUM(E117,K117)</f>
        <v>40300</v>
      </c>
      <c r="E117" s="346">
        <f aca="true" t="shared" si="26" ref="E117:E126">SUM(F117:J117)</f>
        <v>40300</v>
      </c>
      <c r="F117" s="346">
        <f>SUM(F118)</f>
        <v>40300</v>
      </c>
      <c r="G117" s="346">
        <f>SUM(H118)</f>
        <v>0</v>
      </c>
      <c r="H117" s="346">
        <f>SUM(I119:I119)</f>
        <v>0</v>
      </c>
      <c r="I117" s="346">
        <f>SUM(J119:J119)</f>
        <v>0</v>
      </c>
      <c r="J117" s="346">
        <f>SUM(J119)</f>
        <v>0</v>
      </c>
      <c r="K117" s="349"/>
      <c r="L117" s="349"/>
      <c r="M117" s="349"/>
      <c r="N117" s="349"/>
      <c r="O117" s="349"/>
    </row>
    <row r="118" spans="1:15" ht="11.25">
      <c r="A118" s="66"/>
      <c r="B118" s="59" t="s">
        <v>280</v>
      </c>
      <c r="C118" s="357" t="s">
        <v>282</v>
      </c>
      <c r="D118" s="346">
        <f t="shared" si="25"/>
        <v>40300</v>
      </c>
      <c r="E118" s="346">
        <f t="shared" si="26"/>
        <v>40300</v>
      </c>
      <c r="F118" s="346">
        <f>SUM(F119:F120)</f>
        <v>40300</v>
      </c>
      <c r="G118" s="346"/>
      <c r="H118" s="346"/>
      <c r="I118" s="346"/>
      <c r="J118" s="346"/>
      <c r="K118" s="349"/>
      <c r="L118" s="349"/>
      <c r="M118" s="349"/>
      <c r="N118" s="349"/>
      <c r="O118" s="349"/>
    </row>
    <row r="119" spans="1:15" ht="11.25">
      <c r="A119" s="34"/>
      <c r="B119" s="29" t="s">
        <v>58</v>
      </c>
      <c r="C119" s="353" t="s">
        <v>232</v>
      </c>
      <c r="D119" s="347">
        <f t="shared" si="25"/>
        <v>40250</v>
      </c>
      <c r="E119" s="349">
        <f t="shared" si="26"/>
        <v>40250</v>
      </c>
      <c r="F119" s="349">
        <v>40250</v>
      </c>
      <c r="G119" s="349"/>
      <c r="H119" s="349"/>
      <c r="I119" s="349"/>
      <c r="J119" s="349"/>
      <c r="K119" s="349"/>
      <c r="L119" s="349"/>
      <c r="M119" s="349"/>
      <c r="N119" s="349"/>
      <c r="O119" s="349"/>
    </row>
    <row r="120" spans="1:15" ht="11.25">
      <c r="A120" s="34"/>
      <c r="B120" s="29" t="s">
        <v>102</v>
      </c>
      <c r="C120" s="353" t="s">
        <v>233</v>
      </c>
      <c r="D120" s="347">
        <f t="shared" si="25"/>
        <v>50</v>
      </c>
      <c r="E120" s="349">
        <f t="shared" si="26"/>
        <v>50</v>
      </c>
      <c r="F120" s="349">
        <v>50</v>
      </c>
      <c r="G120" s="349"/>
      <c r="H120" s="349"/>
      <c r="I120" s="349"/>
      <c r="J120" s="349"/>
      <c r="K120" s="349"/>
      <c r="L120" s="349"/>
      <c r="M120" s="349"/>
      <c r="N120" s="349"/>
      <c r="O120" s="349"/>
    </row>
    <row r="121" spans="1:15" ht="22.5">
      <c r="A121" s="66">
        <v>926</v>
      </c>
      <c r="B121" s="59"/>
      <c r="C121" s="357" t="s">
        <v>283</v>
      </c>
      <c r="D121" s="346">
        <f t="shared" si="25"/>
        <v>450000</v>
      </c>
      <c r="E121" s="346">
        <f t="shared" si="26"/>
        <v>450000</v>
      </c>
      <c r="F121" s="346">
        <f>SUM(F122)</f>
        <v>450000</v>
      </c>
      <c r="G121" s="346">
        <f>SUM(H122)</f>
        <v>0</v>
      </c>
      <c r="H121" s="346">
        <f>SUM(I123:I123)</f>
        <v>0</v>
      </c>
      <c r="I121" s="346">
        <f>SUM(J123:J123)</f>
        <v>0</v>
      </c>
      <c r="J121" s="346">
        <f>SUM(J123)</f>
        <v>0</v>
      </c>
      <c r="K121" s="349"/>
      <c r="L121" s="349"/>
      <c r="M121" s="349"/>
      <c r="N121" s="349"/>
      <c r="O121" s="349"/>
    </row>
    <row r="122" spans="1:15" ht="13.5" customHeight="1">
      <c r="A122" s="66"/>
      <c r="B122" s="59" t="s">
        <v>279</v>
      </c>
      <c r="C122" s="358" t="s">
        <v>284</v>
      </c>
      <c r="D122" s="346">
        <f t="shared" si="25"/>
        <v>450000</v>
      </c>
      <c r="E122" s="346">
        <f t="shared" si="26"/>
        <v>450000</v>
      </c>
      <c r="F122" s="346">
        <f>SUM(F123:F126)</f>
        <v>450000</v>
      </c>
      <c r="G122" s="346"/>
      <c r="H122" s="346"/>
      <c r="I122" s="346"/>
      <c r="J122" s="346"/>
      <c r="K122" s="349"/>
      <c r="L122" s="349"/>
      <c r="M122" s="349"/>
      <c r="N122" s="349"/>
      <c r="O122" s="349"/>
    </row>
    <row r="123" spans="1:15" ht="78.75">
      <c r="A123" s="34"/>
      <c r="B123" s="29" t="s">
        <v>68</v>
      </c>
      <c r="C123" s="466" t="s">
        <v>239</v>
      </c>
      <c r="D123" s="347">
        <f t="shared" si="25"/>
        <v>35000</v>
      </c>
      <c r="E123" s="349">
        <f t="shared" si="26"/>
        <v>35000</v>
      </c>
      <c r="F123" s="349">
        <v>35000</v>
      </c>
      <c r="G123" s="349"/>
      <c r="H123" s="349"/>
      <c r="I123" s="349"/>
      <c r="J123" s="349"/>
      <c r="K123" s="349"/>
      <c r="L123" s="349"/>
      <c r="M123" s="349"/>
      <c r="N123" s="349"/>
      <c r="O123" s="349"/>
    </row>
    <row r="124" spans="1:15" ht="11.25">
      <c r="A124" s="34"/>
      <c r="B124" s="29" t="s">
        <v>58</v>
      </c>
      <c r="C124" s="467" t="s">
        <v>232</v>
      </c>
      <c r="D124" s="347">
        <f t="shared" si="25"/>
        <v>355000</v>
      </c>
      <c r="E124" s="349">
        <f t="shared" si="26"/>
        <v>355000</v>
      </c>
      <c r="F124" s="349">
        <v>355000</v>
      </c>
      <c r="G124" s="349"/>
      <c r="H124" s="349"/>
      <c r="I124" s="349"/>
      <c r="J124" s="349"/>
      <c r="K124" s="349"/>
      <c r="L124" s="349"/>
      <c r="M124" s="349"/>
      <c r="N124" s="349"/>
      <c r="O124" s="349"/>
    </row>
    <row r="125" spans="1:15" ht="11.25">
      <c r="A125" s="34"/>
      <c r="B125" s="29" t="s">
        <v>102</v>
      </c>
      <c r="C125" s="467" t="s">
        <v>233</v>
      </c>
      <c r="D125" s="347">
        <f t="shared" si="25"/>
        <v>1000</v>
      </c>
      <c r="E125" s="349">
        <f t="shared" si="26"/>
        <v>1000</v>
      </c>
      <c r="F125" s="349">
        <v>1000</v>
      </c>
      <c r="G125" s="349"/>
      <c r="H125" s="349"/>
      <c r="I125" s="349"/>
      <c r="J125" s="349"/>
      <c r="K125" s="349"/>
      <c r="L125" s="349"/>
      <c r="M125" s="349"/>
      <c r="N125" s="349"/>
      <c r="O125" s="349"/>
    </row>
    <row r="126" spans="1:15" ht="11.25">
      <c r="A126" s="34"/>
      <c r="B126" s="29" t="s">
        <v>74</v>
      </c>
      <c r="C126" s="468" t="s">
        <v>75</v>
      </c>
      <c r="D126" s="347">
        <f t="shared" si="25"/>
        <v>59000</v>
      </c>
      <c r="E126" s="349">
        <f t="shared" si="26"/>
        <v>59000</v>
      </c>
      <c r="F126" s="349">
        <v>59000</v>
      </c>
      <c r="G126" s="349"/>
      <c r="H126" s="349"/>
      <c r="I126" s="349"/>
      <c r="J126" s="349"/>
      <c r="K126" s="349"/>
      <c r="L126" s="349"/>
      <c r="M126" s="349"/>
      <c r="N126" s="349"/>
      <c r="O126" s="349"/>
    </row>
    <row r="127" spans="1:15" ht="11.25">
      <c r="A127" s="35"/>
      <c r="B127" s="36"/>
      <c r="C127" s="31" t="s">
        <v>179</v>
      </c>
      <c r="D127" s="469">
        <f aca="true" t="shared" si="27" ref="D127:O127">SUM(D9,D12,D19,D32,D38,D41,D44,D71,D78,D91,D94,D117,D121)</f>
        <v>80217463.87</v>
      </c>
      <c r="E127" s="469">
        <f t="shared" si="27"/>
        <v>63854182.87</v>
      </c>
      <c r="F127" s="469">
        <f t="shared" si="27"/>
        <v>57154997</v>
      </c>
      <c r="G127" s="469">
        <f t="shared" si="27"/>
        <v>6276627</v>
      </c>
      <c r="H127" s="469">
        <f t="shared" si="27"/>
        <v>0</v>
      </c>
      <c r="I127" s="469">
        <f t="shared" si="27"/>
        <v>0</v>
      </c>
      <c r="J127" s="469">
        <f t="shared" si="27"/>
        <v>422558.87</v>
      </c>
      <c r="K127" s="469">
        <f t="shared" si="27"/>
        <v>16363281</v>
      </c>
      <c r="L127" s="469">
        <f t="shared" si="27"/>
        <v>1580000</v>
      </c>
      <c r="M127" s="469">
        <f t="shared" si="27"/>
        <v>0</v>
      </c>
      <c r="N127" s="469">
        <f t="shared" si="27"/>
        <v>200000</v>
      </c>
      <c r="O127" s="469">
        <f t="shared" si="27"/>
        <v>14583281</v>
      </c>
    </row>
  </sheetData>
  <sheetProtection/>
  <mergeCells count="11">
    <mergeCell ref="L1:M1"/>
    <mergeCell ref="A4:A7"/>
    <mergeCell ref="B4:B7"/>
    <mergeCell ref="C4:C7"/>
    <mergeCell ref="D4:D7"/>
    <mergeCell ref="E4:O4"/>
    <mergeCell ref="E5:E7"/>
    <mergeCell ref="K5:K7"/>
    <mergeCell ref="F5:J6"/>
    <mergeCell ref="L5:O6"/>
    <mergeCell ref="A2:O2"/>
  </mergeCells>
  <printOptions/>
  <pageMargins left="0.4330708661417323" right="0.1968503937007874" top="1.1811023622047245" bottom="0.4724409448818898" header="0.31496062992125984" footer="0.2755905511811024"/>
  <pageSetup horizontalDpi="600" verticalDpi="600" orientation="landscape" paperSize="9" r:id="rId1"/>
  <headerFooter alignWithMargins="0">
    <oddHeader>&amp;RTabela nr 1 
do Uchwały Nr LIII/415/2010
Rady Miejskiej w Łowiczu
z dnia 21 stycznia 2010 roku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B53" sqref="B53"/>
    </sheetView>
  </sheetViews>
  <sheetFormatPr defaultColWidth="9.00390625" defaultRowHeight="12.75"/>
  <cols>
    <col min="1" max="1" width="6.25390625" style="366" customWidth="1"/>
    <col min="2" max="2" width="32.25390625" style="366" customWidth="1"/>
    <col min="3" max="3" width="12.375" style="366" customWidth="1"/>
    <col min="4" max="4" width="13.375" style="366" customWidth="1"/>
    <col min="5" max="5" width="13.625" style="366" customWidth="1"/>
    <col min="6" max="8" width="12.375" style="366" customWidth="1"/>
    <col min="9" max="9" width="13.00390625" style="366" customWidth="1"/>
    <col min="10" max="10" width="10.625" style="366" customWidth="1"/>
    <col min="11" max="16384" width="9.125" style="366" customWidth="1"/>
  </cols>
  <sheetData>
    <row r="1" spans="1:10" ht="15.75">
      <c r="A1" s="608" t="s">
        <v>461</v>
      </c>
      <c r="B1" s="609"/>
      <c r="C1" s="365" t="s">
        <v>462</v>
      </c>
      <c r="D1" s="365" t="s">
        <v>463</v>
      </c>
      <c r="E1" s="365" t="s">
        <v>308</v>
      </c>
      <c r="F1" s="365" t="s">
        <v>464</v>
      </c>
      <c r="G1" s="365" t="s">
        <v>318</v>
      </c>
      <c r="H1" s="365" t="s">
        <v>465</v>
      </c>
      <c r="I1" s="365" t="s">
        <v>320</v>
      </c>
      <c r="J1" s="365" t="s">
        <v>466</v>
      </c>
    </row>
    <row r="2" spans="1:10" ht="12.75">
      <c r="A2" s="610" t="s">
        <v>467</v>
      </c>
      <c r="B2" s="614"/>
      <c r="C2" s="368">
        <v>73058913.03</v>
      </c>
      <c r="D2" s="368">
        <v>77670986.2</v>
      </c>
      <c r="E2" s="368">
        <v>80217463.87</v>
      </c>
      <c r="F2" s="369">
        <v>76352770</v>
      </c>
      <c r="G2" s="369">
        <v>71458200</v>
      </c>
      <c r="H2" s="369">
        <f>G2*103%-2000000</f>
        <v>71601946</v>
      </c>
      <c r="I2" s="369">
        <f>H2*101.5%</f>
        <v>72675975.19</v>
      </c>
      <c r="J2" s="369">
        <f>I2*100.5%-200000</f>
        <v>72839355.06594999</v>
      </c>
    </row>
    <row r="3" spans="1:10" ht="12.75">
      <c r="A3" s="370" t="s">
        <v>43</v>
      </c>
      <c r="B3" s="371" t="s">
        <v>468</v>
      </c>
      <c r="C3" s="372">
        <v>63715192.87</v>
      </c>
      <c r="D3" s="372">
        <v>66044796.2</v>
      </c>
      <c r="E3" s="372">
        <v>63854182.87</v>
      </c>
      <c r="F3" s="373">
        <v>65903669</v>
      </c>
      <c r="G3" s="373">
        <f>SUM(G2-G4)</f>
        <v>67542369</v>
      </c>
      <c r="H3" s="373">
        <f>SUM(H2-H5)</f>
        <v>69850946</v>
      </c>
      <c r="I3" s="373">
        <f>SUM(I2-I5)</f>
        <v>70872445.19</v>
      </c>
      <c r="J3" s="373">
        <f>SUM(J2-J5)</f>
        <v>71181719.16594999</v>
      </c>
    </row>
    <row r="4" spans="1:10" ht="12.75">
      <c r="A4" s="370" t="s">
        <v>44</v>
      </c>
      <c r="B4" s="371" t="s">
        <v>469</v>
      </c>
      <c r="C4" s="372">
        <v>9343720.16</v>
      </c>
      <c r="D4" s="372">
        <v>11626190</v>
      </c>
      <c r="E4" s="372">
        <v>16363281</v>
      </c>
      <c r="F4" s="373">
        <v>10449101</v>
      </c>
      <c r="G4" s="373">
        <v>3915831</v>
      </c>
      <c r="H4" s="373">
        <v>1751000</v>
      </c>
      <c r="I4" s="373">
        <v>1803530</v>
      </c>
      <c r="J4" s="373">
        <f>I4*103%-200000</f>
        <v>1657635.9000000001</v>
      </c>
    </row>
    <row r="5" spans="1:10" ht="12.75">
      <c r="A5" s="370" t="s">
        <v>115</v>
      </c>
      <c r="B5" s="371" t="s">
        <v>470</v>
      </c>
      <c r="C5" s="372">
        <v>1393195.28</v>
      </c>
      <c r="D5" s="372">
        <v>1505000</v>
      </c>
      <c r="E5" s="372">
        <v>1580000</v>
      </c>
      <c r="F5" s="373">
        <f>E5*102%+10</f>
        <v>1611610</v>
      </c>
      <c r="G5" s="373">
        <v>1700000</v>
      </c>
      <c r="H5" s="373">
        <f>G5*103%</f>
        <v>1751000</v>
      </c>
      <c r="I5" s="373">
        <f>H5*103%</f>
        <v>1803530</v>
      </c>
      <c r="J5" s="373">
        <f>I5*103%-200000</f>
        <v>1657635.9000000001</v>
      </c>
    </row>
    <row r="6" spans="1:10" ht="12.75">
      <c r="A6" s="374" t="s">
        <v>227</v>
      </c>
      <c r="B6" s="375" t="s">
        <v>227</v>
      </c>
      <c r="C6" s="372"/>
      <c r="D6" s="372"/>
      <c r="E6" s="372"/>
      <c r="F6" s="376"/>
      <c r="G6" s="376"/>
      <c r="H6" s="376"/>
      <c r="I6" s="376"/>
      <c r="J6" s="376"/>
    </row>
    <row r="7" spans="1:10" ht="12.75">
      <c r="A7" s="607" t="s">
        <v>227</v>
      </c>
      <c r="B7" s="607"/>
      <c r="C7" s="372" t="s">
        <v>227</v>
      </c>
      <c r="D7" s="372"/>
      <c r="E7" s="372" t="s">
        <v>227</v>
      </c>
      <c r="F7" s="376"/>
      <c r="G7" s="376"/>
      <c r="H7" s="376"/>
      <c r="I7" s="376"/>
      <c r="J7" s="376"/>
    </row>
    <row r="8" spans="1:10" ht="12.75">
      <c r="A8" s="607" t="s">
        <v>471</v>
      </c>
      <c r="B8" s="607"/>
      <c r="C8" s="368">
        <v>71841753.81</v>
      </c>
      <c r="D8" s="368">
        <v>90154274.2</v>
      </c>
      <c r="E8" s="368">
        <v>92640595.87</v>
      </c>
      <c r="F8" s="369">
        <v>67910902</v>
      </c>
      <c r="G8" s="369">
        <v>64462256</v>
      </c>
      <c r="H8" s="369">
        <f>G8*102%+1068504-1911+1010000-3000000-90092</f>
        <v>64738002.120000005</v>
      </c>
      <c r="I8" s="369">
        <f>H8*102%-260064+44367+4968</f>
        <v>65822033.16240001</v>
      </c>
      <c r="J8" s="369">
        <f>I8*102%+2106745-345253-1909+140922+15126</f>
        <v>69054104.82564801</v>
      </c>
    </row>
    <row r="9" spans="1:10" ht="12.75">
      <c r="A9" s="377" t="s">
        <v>45</v>
      </c>
      <c r="B9" s="370" t="s">
        <v>472</v>
      </c>
      <c r="C9" s="372">
        <v>52618008.61</v>
      </c>
      <c r="D9" s="372">
        <v>58470186.2</v>
      </c>
      <c r="E9" s="372">
        <v>59636079.26</v>
      </c>
      <c r="F9" s="369">
        <v>59139902</v>
      </c>
      <c r="G9" s="369">
        <f>F9*102%-10000</f>
        <v>60312700.04</v>
      </c>
      <c r="H9" s="369">
        <f>G9*102%</f>
        <v>61518954.0408</v>
      </c>
      <c r="I9" s="369">
        <f>H9*101.9%</f>
        <v>62687814.1675752</v>
      </c>
      <c r="J9" s="369">
        <f>I9*102%</f>
        <v>63941570.450926706</v>
      </c>
    </row>
    <row r="10" spans="1:10" ht="12.75">
      <c r="A10" s="377" t="s">
        <v>116</v>
      </c>
      <c r="B10" s="370" t="s">
        <v>131</v>
      </c>
      <c r="C10" s="372">
        <v>308084.61</v>
      </c>
      <c r="D10" s="372">
        <v>1025000</v>
      </c>
      <c r="E10" s="372">
        <v>1200000</v>
      </c>
      <c r="F10" s="373">
        <v>1550000</v>
      </c>
      <c r="G10" s="373">
        <v>1400000</v>
      </c>
      <c r="H10" s="373">
        <v>1350000</v>
      </c>
      <c r="I10" s="373">
        <v>1000000</v>
      </c>
      <c r="J10" s="373">
        <v>900000</v>
      </c>
    </row>
    <row r="11" spans="1:10" ht="12.75">
      <c r="A11" s="377" t="s">
        <v>117</v>
      </c>
      <c r="B11" s="370" t="s">
        <v>473</v>
      </c>
      <c r="C11" s="372"/>
      <c r="D11" s="372"/>
      <c r="E11" s="372"/>
      <c r="F11" s="376"/>
      <c r="G11" s="376"/>
      <c r="H11" s="376"/>
      <c r="I11" s="376"/>
      <c r="J11" s="376"/>
    </row>
    <row r="12" spans="1:10" ht="12.75">
      <c r="A12" s="377" t="s">
        <v>474</v>
      </c>
      <c r="B12" s="370" t="s">
        <v>475</v>
      </c>
      <c r="C12" s="372"/>
      <c r="D12" s="372"/>
      <c r="E12" s="372"/>
      <c r="F12" s="376"/>
      <c r="G12" s="376"/>
      <c r="H12" s="376"/>
      <c r="I12" s="376"/>
      <c r="J12" s="376"/>
    </row>
    <row r="13" spans="1:10" ht="12.75">
      <c r="A13" s="377" t="s">
        <v>310</v>
      </c>
      <c r="B13" s="370" t="s">
        <v>476</v>
      </c>
      <c r="C13" s="372">
        <v>19223745.2</v>
      </c>
      <c r="D13" s="372">
        <v>31684088</v>
      </c>
      <c r="E13" s="372">
        <f aca="true" t="shared" si="0" ref="E13:J13">SUM(E8-E9)</f>
        <v>33004516.610000007</v>
      </c>
      <c r="F13" s="376">
        <f t="shared" si="0"/>
        <v>8771000</v>
      </c>
      <c r="G13" s="376">
        <f t="shared" si="0"/>
        <v>4149555.960000001</v>
      </c>
      <c r="H13" s="376">
        <f t="shared" si="0"/>
        <v>3219048.079200007</v>
      </c>
      <c r="I13" s="376">
        <f t="shared" si="0"/>
        <v>3134218.9948248044</v>
      </c>
      <c r="J13" s="376">
        <f t="shared" si="0"/>
        <v>5112534.374721304</v>
      </c>
    </row>
    <row r="14" spans="1:10" ht="27" customHeight="1">
      <c r="A14" s="605" t="s">
        <v>477</v>
      </c>
      <c r="B14" s="612"/>
      <c r="C14" s="372">
        <f aca="true" t="shared" si="1" ref="C14:J14">SUM(C3-C9)</f>
        <v>11097184.259999998</v>
      </c>
      <c r="D14" s="372">
        <f t="shared" si="1"/>
        <v>7574610</v>
      </c>
      <c r="E14" s="372">
        <f t="shared" si="1"/>
        <v>4218103.609999999</v>
      </c>
      <c r="F14" s="376">
        <f t="shared" si="1"/>
        <v>6763767</v>
      </c>
      <c r="G14" s="376">
        <f t="shared" si="1"/>
        <v>7229668.960000001</v>
      </c>
      <c r="H14" s="376">
        <f t="shared" si="1"/>
        <v>8331991.959200002</v>
      </c>
      <c r="I14" s="376">
        <f t="shared" si="1"/>
        <v>8184631.022424795</v>
      </c>
      <c r="J14" s="376">
        <f t="shared" si="1"/>
        <v>7240148.715023279</v>
      </c>
    </row>
    <row r="15" spans="1:10" ht="12.75">
      <c r="A15" s="610" t="s">
        <v>478</v>
      </c>
      <c r="B15" s="611"/>
      <c r="C15" s="372">
        <f aca="true" t="shared" si="2" ref="C15:J15">SUM(C2-C8)</f>
        <v>1217159.2199999988</v>
      </c>
      <c r="D15" s="372">
        <f t="shared" si="2"/>
        <v>-12483288</v>
      </c>
      <c r="E15" s="372">
        <f t="shared" si="2"/>
        <v>-12423132</v>
      </c>
      <c r="F15" s="376">
        <f t="shared" si="2"/>
        <v>8441868</v>
      </c>
      <c r="G15" s="376">
        <f t="shared" si="2"/>
        <v>6995944</v>
      </c>
      <c r="H15" s="376">
        <f t="shared" si="2"/>
        <v>6863943.879999995</v>
      </c>
      <c r="I15" s="376">
        <f t="shared" si="2"/>
        <v>6853942.02759999</v>
      </c>
      <c r="J15" s="376">
        <f t="shared" si="2"/>
        <v>3785250.2403019816</v>
      </c>
    </row>
    <row r="16" spans="1:10" ht="12.75">
      <c r="A16" s="367" t="s">
        <v>479</v>
      </c>
      <c r="B16" s="378"/>
      <c r="C16" s="368">
        <f aca="true" t="shared" si="3" ref="C16:J16">SUM(C17:C21)</f>
        <v>15785998.690000001</v>
      </c>
      <c r="D16" s="368">
        <f t="shared" si="3"/>
        <v>16323354</v>
      </c>
      <c r="E16" s="368">
        <f t="shared" si="3"/>
        <v>17600000</v>
      </c>
      <c r="F16" s="368">
        <f t="shared" si="3"/>
        <v>0</v>
      </c>
      <c r="G16" s="368">
        <f t="shared" si="3"/>
        <v>0</v>
      </c>
      <c r="H16" s="368">
        <f t="shared" si="3"/>
        <v>0</v>
      </c>
      <c r="I16" s="368">
        <f t="shared" si="3"/>
        <v>0</v>
      </c>
      <c r="J16" s="368">
        <f t="shared" si="3"/>
        <v>0</v>
      </c>
    </row>
    <row r="17" spans="1:10" ht="25.5">
      <c r="A17" s="379" t="s">
        <v>480</v>
      </c>
      <c r="B17" s="380" t="s">
        <v>481</v>
      </c>
      <c r="C17" s="372">
        <v>11477000</v>
      </c>
      <c r="D17" s="372">
        <v>6890000</v>
      </c>
      <c r="E17" s="376">
        <v>17600000</v>
      </c>
      <c r="F17" s="373"/>
      <c r="G17" s="376"/>
      <c r="H17" s="376"/>
      <c r="I17" s="376"/>
      <c r="J17" s="376"/>
    </row>
    <row r="18" spans="1:10" ht="12.75">
      <c r="A18" s="379" t="s">
        <v>482</v>
      </c>
      <c r="B18" s="381" t="s">
        <v>475</v>
      </c>
      <c r="C18" s="372"/>
      <c r="D18" s="372"/>
      <c r="E18" s="376"/>
      <c r="F18" s="376"/>
      <c r="G18" s="376"/>
      <c r="H18" s="376"/>
      <c r="I18" s="376"/>
      <c r="J18" s="376"/>
    </row>
    <row r="19" spans="1:10" ht="12.75">
      <c r="A19" s="370" t="s">
        <v>483</v>
      </c>
      <c r="B19" s="381" t="s">
        <v>484</v>
      </c>
      <c r="C19" s="372">
        <v>4308998.69</v>
      </c>
      <c r="D19" s="372">
        <v>8216195</v>
      </c>
      <c r="E19" s="376"/>
      <c r="F19" s="376"/>
      <c r="G19" s="376"/>
      <c r="H19" s="376"/>
      <c r="I19" s="376"/>
      <c r="J19" s="376"/>
    </row>
    <row r="20" spans="1:10" ht="12.75">
      <c r="A20" s="370" t="s">
        <v>485</v>
      </c>
      <c r="B20" s="381" t="s">
        <v>486</v>
      </c>
      <c r="C20" s="372"/>
      <c r="D20" s="372">
        <v>1217159</v>
      </c>
      <c r="E20" s="376"/>
      <c r="F20" s="376"/>
      <c r="G20" s="376"/>
      <c r="H20" s="376"/>
      <c r="I20" s="376"/>
      <c r="J20" s="376"/>
    </row>
    <row r="21" spans="1:10" ht="12.75">
      <c r="A21" s="370" t="s">
        <v>487</v>
      </c>
      <c r="B21" s="381" t="s">
        <v>488</v>
      </c>
      <c r="C21" s="372"/>
      <c r="D21" s="372"/>
      <c r="E21" s="376"/>
      <c r="F21" s="376"/>
      <c r="G21" s="376"/>
      <c r="H21" s="376"/>
      <c r="I21" s="376"/>
      <c r="J21" s="376"/>
    </row>
    <row r="22" spans="1:10" ht="12.75">
      <c r="A22" s="607" t="s">
        <v>489</v>
      </c>
      <c r="B22" s="607"/>
      <c r="C22" s="372">
        <f>SUM(C23)</f>
        <v>7569803.26</v>
      </c>
      <c r="D22" s="372">
        <f aca="true" t="shared" si="4" ref="D22:J22">SUM(D23:D24)</f>
        <v>3840066</v>
      </c>
      <c r="E22" s="376">
        <f t="shared" si="4"/>
        <v>5176868</v>
      </c>
      <c r="F22" s="376">
        <f t="shared" si="4"/>
        <v>8441868</v>
      </c>
      <c r="G22" s="376">
        <f t="shared" si="4"/>
        <v>6995944</v>
      </c>
      <c r="H22" s="376">
        <f t="shared" si="4"/>
        <v>6863944</v>
      </c>
      <c r="I22" s="376">
        <f t="shared" si="4"/>
        <v>6853942</v>
      </c>
      <c r="J22" s="376">
        <f t="shared" si="4"/>
        <v>3785250</v>
      </c>
    </row>
    <row r="23" spans="1:10" ht="25.5">
      <c r="A23" s="370" t="s">
        <v>490</v>
      </c>
      <c r="B23" s="380" t="s">
        <v>491</v>
      </c>
      <c r="C23" s="372">
        <v>7569803.26</v>
      </c>
      <c r="D23" s="372">
        <v>3840066</v>
      </c>
      <c r="E23" s="376">
        <v>5176868</v>
      </c>
      <c r="F23" s="376">
        <v>8441868</v>
      </c>
      <c r="G23" s="376">
        <v>6995944</v>
      </c>
      <c r="H23" s="376">
        <v>6863944</v>
      </c>
      <c r="I23" s="376">
        <v>6853942</v>
      </c>
      <c r="J23" s="376">
        <f>3980000+5250-200000</f>
        <v>3785250</v>
      </c>
    </row>
    <row r="24" spans="1:10" ht="12.75">
      <c r="A24" s="370" t="s">
        <v>492</v>
      </c>
      <c r="B24" s="382" t="s">
        <v>475</v>
      </c>
      <c r="C24" s="372">
        <v>5226259.26</v>
      </c>
      <c r="D24" s="372"/>
      <c r="E24" s="373"/>
      <c r="F24" s="376"/>
      <c r="G24" s="376"/>
      <c r="H24" s="376"/>
      <c r="I24" s="376"/>
      <c r="J24" s="376"/>
    </row>
    <row r="25" spans="1:10" ht="12.75">
      <c r="A25" s="613" t="s">
        <v>493</v>
      </c>
      <c r="B25" s="611"/>
      <c r="C25" s="383" t="s">
        <v>227</v>
      </c>
      <c r="D25" s="372">
        <f aca="true" t="shared" si="5" ref="D25:J25">SUM(D2+D16)-(D8+D22)</f>
        <v>0</v>
      </c>
      <c r="E25" s="376">
        <f t="shared" si="5"/>
        <v>0</v>
      </c>
      <c r="F25" s="376">
        <f t="shared" si="5"/>
        <v>0</v>
      </c>
      <c r="G25" s="376">
        <f t="shared" si="5"/>
        <v>0</v>
      </c>
      <c r="H25" s="376">
        <f t="shared" si="5"/>
        <v>-0.12000000476837158</v>
      </c>
      <c r="I25" s="376">
        <f t="shared" si="5"/>
        <v>0.027599990367889404</v>
      </c>
      <c r="J25" s="376">
        <f t="shared" si="5"/>
        <v>0.2403019815683365</v>
      </c>
    </row>
    <row r="26" spans="1:10" ht="12.75">
      <c r="A26" s="613" t="s">
        <v>494</v>
      </c>
      <c r="B26" s="611"/>
      <c r="C26" s="368">
        <f aca="true" t="shared" si="6" ref="C26:J26">SUM(C17-C23)</f>
        <v>3907196.74</v>
      </c>
      <c r="D26" s="368">
        <f t="shared" si="6"/>
        <v>3049934</v>
      </c>
      <c r="E26" s="369">
        <f t="shared" si="6"/>
        <v>12423132</v>
      </c>
      <c r="F26" s="369">
        <f t="shared" si="6"/>
        <v>-8441868</v>
      </c>
      <c r="G26" s="369">
        <f t="shared" si="6"/>
        <v>-6995944</v>
      </c>
      <c r="H26" s="369">
        <f t="shared" si="6"/>
        <v>-6863944</v>
      </c>
      <c r="I26" s="369">
        <f t="shared" si="6"/>
        <v>-6853942</v>
      </c>
      <c r="J26" s="369">
        <f t="shared" si="6"/>
        <v>-3785250</v>
      </c>
    </row>
    <row r="27" spans="1:10" ht="12.75">
      <c r="A27" s="384" t="s">
        <v>495</v>
      </c>
      <c r="B27" s="385" t="s">
        <v>475</v>
      </c>
      <c r="C27" s="383">
        <v>0</v>
      </c>
      <c r="D27" s="372"/>
      <c r="E27" s="376"/>
      <c r="F27" s="376"/>
      <c r="G27" s="376"/>
      <c r="H27" s="376"/>
      <c r="I27" s="376"/>
      <c r="J27" s="376"/>
    </row>
    <row r="28" spans="1:10" ht="12.75">
      <c r="A28" s="613" t="s">
        <v>496</v>
      </c>
      <c r="B28" s="611"/>
      <c r="C28" s="368" t="s">
        <v>227</v>
      </c>
      <c r="D28" s="369" t="s">
        <v>227</v>
      </c>
      <c r="E28" s="369" t="s">
        <v>227</v>
      </c>
      <c r="F28" s="369" t="s">
        <v>227</v>
      </c>
      <c r="G28" s="369" t="s">
        <v>227</v>
      </c>
      <c r="H28" s="369" t="s">
        <v>227</v>
      </c>
      <c r="I28" s="369" t="s">
        <v>227</v>
      </c>
      <c r="J28" s="369" t="s">
        <v>227</v>
      </c>
    </row>
    <row r="29" spans="1:10" ht="40.5" customHeight="1">
      <c r="A29" s="605" t="s">
        <v>514</v>
      </c>
      <c r="B29" s="606"/>
      <c r="C29" s="368"/>
      <c r="D29" s="369"/>
      <c r="E29" s="369"/>
      <c r="F29" s="369"/>
      <c r="G29" s="369"/>
      <c r="H29" s="369"/>
      <c r="I29" s="369"/>
      <c r="J29" s="369"/>
    </row>
    <row r="30" spans="1:10" ht="38.25">
      <c r="A30" s="384" t="s">
        <v>497</v>
      </c>
      <c r="B30" s="386" t="s">
        <v>498</v>
      </c>
      <c r="C30" s="368"/>
      <c r="D30" s="369"/>
      <c r="E30" s="369"/>
      <c r="F30" s="369"/>
      <c r="G30" s="369"/>
      <c r="H30" s="369"/>
      <c r="I30" s="369"/>
      <c r="J30" s="369"/>
    </row>
    <row r="31" spans="1:10" ht="12.75">
      <c r="A31" s="607" t="s">
        <v>499</v>
      </c>
      <c r="B31" s="607"/>
      <c r="C31" s="368">
        <v>17467882</v>
      </c>
      <c r="D31" s="369">
        <f aca="true" t="shared" si="7" ref="D31:J31">SUM(D26,D32)</f>
        <v>20517816</v>
      </c>
      <c r="E31" s="369">
        <f t="shared" si="7"/>
        <v>32940948</v>
      </c>
      <c r="F31" s="369">
        <f t="shared" si="7"/>
        <v>24499080</v>
      </c>
      <c r="G31" s="369">
        <f t="shared" si="7"/>
        <v>17503136</v>
      </c>
      <c r="H31" s="369">
        <f t="shared" si="7"/>
        <v>10639192</v>
      </c>
      <c r="I31" s="369">
        <f t="shared" si="7"/>
        <v>3785250</v>
      </c>
      <c r="J31" s="369">
        <f t="shared" si="7"/>
        <v>0</v>
      </c>
    </row>
    <row r="32" spans="1:10" ht="12.75">
      <c r="A32" s="384" t="s">
        <v>500</v>
      </c>
      <c r="B32" s="387" t="s">
        <v>501</v>
      </c>
      <c r="C32" s="372">
        <v>13644785.26</v>
      </c>
      <c r="D32" s="376">
        <v>17467882</v>
      </c>
      <c r="E32" s="376">
        <v>20517816</v>
      </c>
      <c r="F32" s="376">
        <v>32940948</v>
      </c>
      <c r="G32" s="376">
        <v>24499080</v>
      </c>
      <c r="H32" s="376">
        <v>17503136</v>
      </c>
      <c r="I32" s="376">
        <v>10639192</v>
      </c>
      <c r="J32" s="376">
        <v>3785250</v>
      </c>
    </row>
    <row r="33" spans="1:10" ht="12.75">
      <c r="A33" s="384" t="s">
        <v>502</v>
      </c>
      <c r="B33" s="387" t="s">
        <v>475</v>
      </c>
      <c r="C33" s="383"/>
      <c r="D33" s="376"/>
      <c r="E33" s="376"/>
      <c r="F33" s="376"/>
      <c r="G33" s="376"/>
      <c r="H33" s="376"/>
      <c r="I33" s="376"/>
      <c r="J33" s="376"/>
    </row>
    <row r="34" spans="1:10" ht="52.5" customHeight="1">
      <c r="A34" s="384" t="s">
        <v>503</v>
      </c>
      <c r="B34" s="386" t="s">
        <v>504</v>
      </c>
      <c r="C34" s="372">
        <f>SUM(C32+C26-84100)</f>
        <v>17467882</v>
      </c>
      <c r="D34" s="372">
        <f aca="true" t="shared" si="8" ref="D34:J34">SUM(D32+D26)</f>
        <v>20517816</v>
      </c>
      <c r="E34" s="372">
        <f t="shared" si="8"/>
        <v>32940948</v>
      </c>
      <c r="F34" s="372">
        <f t="shared" si="8"/>
        <v>24499080</v>
      </c>
      <c r="G34" s="372">
        <f t="shared" si="8"/>
        <v>17503136</v>
      </c>
      <c r="H34" s="372">
        <f t="shared" si="8"/>
        <v>10639192</v>
      </c>
      <c r="I34" s="372">
        <f t="shared" si="8"/>
        <v>3785250</v>
      </c>
      <c r="J34" s="372">
        <f t="shared" si="8"/>
        <v>0</v>
      </c>
    </row>
    <row r="35" spans="1:10" ht="12.75">
      <c r="A35" s="384" t="s">
        <v>505</v>
      </c>
      <c r="B35" s="387" t="s">
        <v>475</v>
      </c>
      <c r="C35" s="372">
        <v>5226259.26</v>
      </c>
      <c r="D35" s="376"/>
      <c r="E35" s="376"/>
      <c r="F35" s="376"/>
      <c r="G35" s="376"/>
      <c r="H35" s="376"/>
      <c r="I35" s="376"/>
      <c r="J35" s="376"/>
    </row>
    <row r="36" spans="1:10" ht="12.75">
      <c r="A36" s="618" t="s">
        <v>506</v>
      </c>
      <c r="B36" s="618"/>
      <c r="C36" s="388" t="s">
        <v>227</v>
      </c>
      <c r="D36" s="388" t="s">
        <v>227</v>
      </c>
      <c r="E36" s="388" t="s">
        <v>227</v>
      </c>
      <c r="F36" s="388" t="s">
        <v>227</v>
      </c>
      <c r="G36" s="388" t="s">
        <v>227</v>
      </c>
      <c r="H36" s="388" t="s">
        <v>227</v>
      </c>
      <c r="I36" s="388" t="s">
        <v>227</v>
      </c>
      <c r="J36" s="388" t="s">
        <v>227</v>
      </c>
    </row>
    <row r="37" spans="1:10" ht="12.75">
      <c r="A37" s="619" t="s">
        <v>507</v>
      </c>
      <c r="B37" s="619"/>
      <c r="C37" s="372">
        <f aca="true" t="shared" si="9" ref="C37:H37">SUM(C23+C10)/C2*100</f>
        <v>10.78292509876943</v>
      </c>
      <c r="D37" s="372">
        <f t="shared" si="9"/>
        <v>6.263685113348026</v>
      </c>
      <c r="E37" s="372">
        <f t="shared" si="9"/>
        <v>7.94947595243639</v>
      </c>
      <c r="F37" s="372">
        <f t="shared" si="9"/>
        <v>13.08645121846922</v>
      </c>
      <c r="G37" s="372">
        <f t="shared" si="9"/>
        <v>11.749447928999052</v>
      </c>
      <c r="H37" s="372">
        <f t="shared" si="9"/>
        <v>11.471677040732944</v>
      </c>
      <c r="I37" s="383" t="s">
        <v>227</v>
      </c>
      <c r="J37" s="383" t="s">
        <v>227</v>
      </c>
    </row>
    <row r="38" spans="1:10" ht="12.75">
      <c r="A38" s="603" t="s">
        <v>508</v>
      </c>
      <c r="B38" s="604"/>
      <c r="C38" s="372">
        <f aca="true" t="shared" si="10" ref="C38:H38">SUM(C23+C10-C24)/C2*100</f>
        <v>3.6294389007829455</v>
      </c>
      <c r="D38" s="372">
        <f t="shared" si="10"/>
        <v>6.263685113348026</v>
      </c>
      <c r="E38" s="372">
        <f t="shared" si="10"/>
        <v>7.94947595243639</v>
      </c>
      <c r="F38" s="372">
        <f t="shared" si="10"/>
        <v>13.08645121846922</v>
      </c>
      <c r="G38" s="372">
        <f t="shared" si="10"/>
        <v>11.749447928999052</v>
      </c>
      <c r="H38" s="372">
        <f t="shared" si="10"/>
        <v>11.471677040732944</v>
      </c>
      <c r="I38" s="383" t="s">
        <v>227</v>
      </c>
      <c r="J38" s="383" t="s">
        <v>227</v>
      </c>
    </row>
    <row r="39" spans="1:10" ht="12.75">
      <c r="A39" s="603" t="s">
        <v>509</v>
      </c>
      <c r="B39" s="604"/>
      <c r="C39" s="372">
        <f aca="true" t="shared" si="11" ref="C39:H39">SUM(C32+C17-C23)/C2*100</f>
        <v>24.024422581804185</v>
      </c>
      <c r="D39" s="372">
        <f t="shared" si="11"/>
        <v>26.416319663004355</v>
      </c>
      <c r="E39" s="372">
        <f t="shared" si="11"/>
        <v>41.06455927525199</v>
      </c>
      <c r="F39" s="372">
        <f t="shared" si="11"/>
        <v>32.086694431649306</v>
      </c>
      <c r="G39" s="372">
        <f t="shared" si="11"/>
        <v>24.494230193315815</v>
      </c>
      <c r="H39" s="372">
        <f t="shared" si="11"/>
        <v>14.858802859911096</v>
      </c>
      <c r="I39" s="383" t="s">
        <v>199</v>
      </c>
      <c r="J39" s="383" t="s">
        <v>199</v>
      </c>
    </row>
    <row r="40" spans="1:10" ht="12.75">
      <c r="A40" s="603" t="s">
        <v>510</v>
      </c>
      <c r="B40" s="604"/>
      <c r="C40" s="372">
        <f>SUM(C32+C17-C23)/C2*100</f>
        <v>24.024422581804185</v>
      </c>
      <c r="D40" s="372">
        <f>SUM(D32-D33+D17-D23)/D2*100</f>
        <v>26.416319663004355</v>
      </c>
      <c r="E40" s="372">
        <f>SUM(E32-E33+E17-E23)/E2*100</f>
        <v>41.06455927525199</v>
      </c>
      <c r="F40" s="372">
        <f>SUM(F32-F33+F17-F23)/F2*100</f>
        <v>32.086694431649306</v>
      </c>
      <c r="G40" s="372">
        <f>SUM(G32-G33+G17-G23)/G2*100</f>
        <v>24.494230193315815</v>
      </c>
      <c r="H40" s="372">
        <f>SUM(H32-H33+H17-H23)/H2*100</f>
        <v>14.858802859911096</v>
      </c>
      <c r="I40" s="383" t="s">
        <v>199</v>
      </c>
      <c r="J40" s="383" t="s">
        <v>199</v>
      </c>
    </row>
    <row r="41" spans="1:10" ht="12.75">
      <c r="A41" s="603" t="s">
        <v>511</v>
      </c>
      <c r="B41" s="604"/>
      <c r="C41" s="370" t="s">
        <v>199</v>
      </c>
      <c r="D41" s="383" t="s">
        <v>199</v>
      </c>
      <c r="E41" s="383" t="s">
        <v>199</v>
      </c>
      <c r="F41" s="389">
        <f>(C3+C5-C9+D3+D5-D9+E3+E5-E9)/(C2+D2+E2)</f>
        <v>0.11850359658858559</v>
      </c>
      <c r="G41" s="389">
        <f>(D3+D5-D9+E3+E5-E9+F3+F5-F9)/(D2+E2+F2)</f>
        <v>0.09926984927354428</v>
      </c>
      <c r="H41" s="389">
        <f>(E3+E5-E9+F3+F5-F9+G3+G5-G9)/(E2+F2+G2)</f>
        <v>0.10131696814253965</v>
      </c>
      <c r="I41" s="389">
        <f>(F3+F5-F9+G3+G5-G9+H3+H5-H9)/(F2+G2+H2)</f>
        <v>0.1248241827258702</v>
      </c>
      <c r="J41" s="389">
        <f>(G3+G5-G9+H3+H5-H9+I3+I5-I9)/(G2+H2+I2)</f>
        <v>0.13442728914219984</v>
      </c>
    </row>
    <row r="42" spans="1:10" ht="12.75" customHeight="1">
      <c r="A42" s="603" t="s">
        <v>515</v>
      </c>
      <c r="B42" s="604"/>
      <c r="C42" s="370" t="s">
        <v>199</v>
      </c>
      <c r="D42" s="383" t="s">
        <v>227</v>
      </c>
      <c r="E42" s="383" t="s">
        <v>199</v>
      </c>
      <c r="F42" s="389">
        <f>(C3+C5-C9+D3+D5-D9+E3+E5-E9)/(C2+D2+E2)</f>
        <v>0.11850359658858559</v>
      </c>
      <c r="G42" s="389">
        <f>(D3+D5-D9+E3+E5-E9+F3+F5-F9)/(D2+E2+F2)</f>
        <v>0.09926984927354428</v>
      </c>
      <c r="H42" s="389">
        <f>(E3+E5-E9+F3+F5-F9+G3+G5-G9)/(E2+F2+G2)</f>
        <v>0.10131696814253965</v>
      </c>
      <c r="I42" s="389">
        <f>(F3+F5-F9+G3+G5-G9+H3+H5-H9)/(F2+G2+H2)</f>
        <v>0.1248241827258702</v>
      </c>
      <c r="J42" s="389">
        <f>(G3+G5-G9+H3+H5-H9+I3+I5-I9)/(G2+H2+I2)</f>
        <v>0.13442728914219984</v>
      </c>
    </row>
    <row r="43" spans="1:10" ht="12.75">
      <c r="A43" s="603" t="s">
        <v>512</v>
      </c>
      <c r="B43" s="620"/>
      <c r="C43" s="370" t="s">
        <v>199</v>
      </c>
      <c r="D43" s="383" t="s">
        <v>199</v>
      </c>
      <c r="E43" s="383" t="s">
        <v>199</v>
      </c>
      <c r="F43" s="390" t="s">
        <v>199</v>
      </c>
      <c r="G43" s="390" t="s">
        <v>199</v>
      </c>
      <c r="H43" s="390" t="s">
        <v>199</v>
      </c>
      <c r="I43" s="389">
        <f>I44</f>
        <v>0.10806792725473713</v>
      </c>
      <c r="J43" s="389">
        <f>J44</f>
        <v>0.06432305716817364</v>
      </c>
    </row>
    <row r="44" spans="1:10" ht="12.75">
      <c r="A44" s="603" t="s">
        <v>516</v>
      </c>
      <c r="B44" s="604"/>
      <c r="C44" s="370" t="s">
        <v>199</v>
      </c>
      <c r="D44" s="370" t="s">
        <v>199</v>
      </c>
      <c r="E44" s="383" t="s">
        <v>199</v>
      </c>
      <c r="F44" s="390" t="s">
        <v>199</v>
      </c>
      <c r="G44" s="390" t="s">
        <v>199</v>
      </c>
      <c r="H44" s="390" t="s">
        <v>199</v>
      </c>
      <c r="I44" s="389">
        <f>(I10+I22)/I2</f>
        <v>0.10806792725473713</v>
      </c>
      <c r="J44" s="389">
        <f>(J10+J22)/J2</f>
        <v>0.06432305716817364</v>
      </c>
    </row>
    <row r="45" spans="1:10" ht="12.75">
      <c r="A45" s="617" t="s">
        <v>227</v>
      </c>
      <c r="B45" s="617"/>
      <c r="C45" s="617"/>
      <c r="D45" s="617"/>
      <c r="E45" s="617"/>
      <c r="F45" s="617"/>
      <c r="G45" s="617"/>
      <c r="H45" s="617"/>
      <c r="I45" s="617"/>
      <c r="J45" s="617"/>
    </row>
    <row r="46" ht="12.75">
      <c r="A46" s="391" t="s">
        <v>517</v>
      </c>
    </row>
    <row r="47" ht="12.75">
      <c r="A47" s="391" t="s">
        <v>518</v>
      </c>
    </row>
    <row r="48" ht="12.75">
      <c r="A48" s="391" t="s">
        <v>519</v>
      </c>
    </row>
    <row r="49" ht="12.75">
      <c r="A49" s="391" t="s">
        <v>520</v>
      </c>
    </row>
    <row r="50" ht="12.75">
      <c r="A50" s="391" t="s">
        <v>521</v>
      </c>
    </row>
    <row r="51" spans="1:8" ht="12.75">
      <c r="A51" s="391" t="s">
        <v>227</v>
      </c>
      <c r="B51" s="392"/>
      <c r="F51" s="392"/>
      <c r="G51" s="392"/>
      <c r="H51" s="392"/>
    </row>
    <row r="52" spans="1:9" ht="12.75">
      <c r="A52" s="391" t="s">
        <v>227</v>
      </c>
      <c r="B52" s="393" t="s">
        <v>227</v>
      </c>
      <c r="F52" s="615" t="s">
        <v>227</v>
      </c>
      <c r="G52" s="616"/>
      <c r="H52" s="616"/>
      <c r="I52" s="394"/>
    </row>
    <row r="55" ht="12.75">
      <c r="B55" s="395" t="s">
        <v>513</v>
      </c>
    </row>
  </sheetData>
  <mergeCells count="23">
    <mergeCell ref="A26:B26"/>
    <mergeCell ref="A28:B28"/>
    <mergeCell ref="F52:H52"/>
    <mergeCell ref="A45:J45"/>
    <mergeCell ref="A44:B44"/>
    <mergeCell ref="A36:B36"/>
    <mergeCell ref="A37:B37"/>
    <mergeCell ref="A43:B43"/>
    <mergeCell ref="A38:B38"/>
    <mergeCell ref="A42:B42"/>
    <mergeCell ref="A1:B1"/>
    <mergeCell ref="A15:B15"/>
    <mergeCell ref="A14:B14"/>
    <mergeCell ref="A25:B25"/>
    <mergeCell ref="A22:B22"/>
    <mergeCell ref="A2:B2"/>
    <mergeCell ref="A7:B7"/>
    <mergeCell ref="A8:B8"/>
    <mergeCell ref="A41:B41"/>
    <mergeCell ref="A29:B29"/>
    <mergeCell ref="A31:B31"/>
    <mergeCell ref="A39:B39"/>
    <mergeCell ref="A40:B40"/>
  </mergeCells>
  <printOptions/>
  <pageMargins left="0.3937007874015748" right="0.3937007874015748" top="1.3779527559055118" bottom="0.984251968503937" header="0.5118110236220472" footer="0.5118110236220472"/>
  <pageSetup horizontalDpi="600" verticalDpi="600" orientation="landscape" paperSize="9" r:id="rId1"/>
  <headerFooter alignWithMargins="0">
    <oddHeader xml:space="preserve">&amp;C
&amp;"Arial CE,Pogrubiony"Prognoza kwoty długu na lata 2008 -2015&amp;RTabela  nr 10
do Uchwały  Nr LIII/415/2010
Rady Miejskiej w Łowiczu
z dnia 21 stycznia 2010 roku 
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8">
      <selection activeCell="K24" sqref="K24"/>
    </sheetView>
  </sheetViews>
  <sheetFormatPr defaultColWidth="9.00390625" defaultRowHeight="12.75"/>
  <cols>
    <col min="1" max="1" width="4.125" style="197" customWidth="1"/>
    <col min="2" max="2" width="5.875" style="197" customWidth="1"/>
    <col min="3" max="3" width="6.875" style="197" customWidth="1"/>
    <col min="4" max="4" width="32.625" style="197" customWidth="1"/>
    <col min="5" max="5" width="9.375" style="197" customWidth="1"/>
    <col min="6" max="6" width="9.625" style="197" customWidth="1"/>
    <col min="7" max="7" width="10.75390625" style="197" customWidth="1"/>
    <col min="8" max="8" width="8.625" style="197" customWidth="1"/>
    <col min="9" max="9" width="8.375" style="197" customWidth="1"/>
    <col min="10" max="16384" width="9.125" style="197" customWidth="1"/>
  </cols>
  <sheetData>
    <row r="1" spans="4:6" ht="12.75">
      <c r="D1" s="197" t="s">
        <v>371</v>
      </c>
      <c r="F1" s="197" t="s">
        <v>227</v>
      </c>
    </row>
    <row r="2" spans="4:6" ht="12.75">
      <c r="D2" s="197" t="s">
        <v>372</v>
      </c>
      <c r="F2" s="197" t="s">
        <v>227</v>
      </c>
    </row>
    <row r="3" spans="1:9" ht="33" customHeight="1">
      <c r="A3" s="621" t="s">
        <v>436</v>
      </c>
      <c r="B3" s="621"/>
      <c r="C3" s="621"/>
      <c r="D3" s="621"/>
      <c r="E3" s="621"/>
      <c r="F3" s="621"/>
      <c r="G3" s="621"/>
      <c r="H3" s="621"/>
      <c r="I3" s="621"/>
    </row>
    <row r="4" spans="4:9" ht="12.75">
      <c r="D4" s="198"/>
      <c r="E4" s="198"/>
      <c r="F4" s="198"/>
      <c r="G4" s="198"/>
      <c r="H4" s="198"/>
      <c r="I4" s="199"/>
    </row>
    <row r="5" spans="1:9" ht="19.5" customHeight="1">
      <c r="A5" s="622" t="s">
        <v>38</v>
      </c>
      <c r="B5" s="622" t="s">
        <v>2</v>
      </c>
      <c r="C5" s="622" t="s">
        <v>3</v>
      </c>
      <c r="D5" s="623" t="s">
        <v>223</v>
      </c>
      <c r="E5" s="630" t="s">
        <v>29</v>
      </c>
      <c r="F5" s="624" t="s">
        <v>373</v>
      </c>
      <c r="G5" s="625"/>
      <c r="H5" s="625"/>
      <c r="I5" s="626"/>
    </row>
    <row r="6" spans="1:9" ht="19.5" customHeight="1">
      <c r="A6" s="622"/>
      <c r="B6" s="622"/>
      <c r="C6" s="622"/>
      <c r="D6" s="623"/>
      <c r="E6" s="631"/>
      <c r="F6" s="627"/>
      <c r="G6" s="628"/>
      <c r="H6" s="628"/>
      <c r="I6" s="629"/>
    </row>
    <row r="7" spans="1:9" ht="19.5" customHeight="1">
      <c r="A7" s="622"/>
      <c r="B7" s="622"/>
      <c r="C7" s="622"/>
      <c r="D7" s="623"/>
      <c r="E7" s="632"/>
      <c r="F7" s="636" t="s">
        <v>218</v>
      </c>
      <c r="G7" s="634" t="s">
        <v>219</v>
      </c>
      <c r="H7" s="638" t="s">
        <v>220</v>
      </c>
      <c r="I7" s="295" t="s">
        <v>398</v>
      </c>
    </row>
    <row r="8" spans="1:9" ht="40.5" customHeight="1">
      <c r="A8" s="622"/>
      <c r="B8" s="622"/>
      <c r="C8" s="622"/>
      <c r="D8" s="623"/>
      <c r="E8" s="633"/>
      <c r="F8" s="637"/>
      <c r="G8" s="635"/>
      <c r="H8" s="639"/>
      <c r="I8" s="296" t="s">
        <v>399</v>
      </c>
    </row>
    <row r="9" spans="1:9" ht="9.75" customHeight="1" thickBot="1">
      <c r="A9" s="200">
        <v>1</v>
      </c>
      <c r="B9" s="200">
        <v>2</v>
      </c>
      <c r="C9" s="200">
        <v>3</v>
      </c>
      <c r="D9" s="200">
        <v>4</v>
      </c>
      <c r="E9" s="200"/>
      <c r="F9" s="200"/>
      <c r="G9" s="200"/>
      <c r="H9" s="200"/>
      <c r="I9" s="200">
        <v>5</v>
      </c>
    </row>
    <row r="10" spans="1:9" ht="24.75" customHeight="1" thickBot="1">
      <c r="A10" s="643" t="s">
        <v>455</v>
      </c>
      <c r="B10" s="644"/>
      <c r="C10" s="645"/>
      <c r="D10" s="219" t="s">
        <v>223</v>
      </c>
      <c r="E10" s="344">
        <f>SUM(F10:H10)</f>
        <v>3457150</v>
      </c>
      <c r="F10" s="344">
        <f>SUM(F12:F20)</f>
        <v>1617150</v>
      </c>
      <c r="G10" s="344">
        <f>SUM(G11:G14)</f>
        <v>1050000</v>
      </c>
      <c r="H10" s="344">
        <f>SUM(H11:H20)</f>
        <v>790000</v>
      </c>
      <c r="I10" s="344">
        <f>SUM(I11:I20)</f>
        <v>745000</v>
      </c>
    </row>
    <row r="11" spans="1:9" ht="33.75" customHeight="1">
      <c r="A11" s="485" t="s">
        <v>7</v>
      </c>
      <c r="B11" s="485">
        <v>600</v>
      </c>
      <c r="C11" s="488">
        <v>60014</v>
      </c>
      <c r="D11" s="486" t="s">
        <v>552</v>
      </c>
      <c r="E11" s="487">
        <f>SUM(F11:H11)</f>
        <v>700000</v>
      </c>
      <c r="F11" s="487"/>
      <c r="G11" s="487" t="s">
        <v>227</v>
      </c>
      <c r="H11" s="487">
        <f>300000+400000</f>
        <v>700000</v>
      </c>
      <c r="I11" s="487">
        <f>300000+400000</f>
        <v>700000</v>
      </c>
    </row>
    <row r="12" spans="1:9" ht="33.75">
      <c r="A12" s="489" t="s">
        <v>8</v>
      </c>
      <c r="B12" s="480">
        <v>754</v>
      </c>
      <c r="C12" s="481">
        <v>75404</v>
      </c>
      <c r="D12" s="479" t="s">
        <v>560</v>
      </c>
      <c r="E12" s="298">
        <f>SUM(F12:I12)</f>
        <v>45000</v>
      </c>
      <c r="F12" s="490"/>
      <c r="G12" s="490" t="s">
        <v>227</v>
      </c>
      <c r="H12" s="490">
        <v>45000</v>
      </c>
      <c r="I12" s="490" t="s">
        <v>227</v>
      </c>
    </row>
    <row r="13" spans="1:9" ht="33.75">
      <c r="A13" s="489" t="s">
        <v>9</v>
      </c>
      <c r="B13" s="480">
        <v>754</v>
      </c>
      <c r="C13" s="481">
        <v>75411</v>
      </c>
      <c r="D13" s="297" t="s">
        <v>553</v>
      </c>
      <c r="E13" s="298">
        <f>SUM(F13:H13)</f>
        <v>45000</v>
      </c>
      <c r="F13" s="490"/>
      <c r="G13" s="490" t="s">
        <v>227</v>
      </c>
      <c r="H13" s="490">
        <v>45000</v>
      </c>
      <c r="I13" s="490">
        <v>45000</v>
      </c>
    </row>
    <row r="14" spans="1:9" ht="12.75">
      <c r="A14" s="650" t="s">
        <v>1</v>
      </c>
      <c r="B14" s="649">
        <v>900</v>
      </c>
      <c r="C14" s="648">
        <v>90017</v>
      </c>
      <c r="D14" s="301" t="s">
        <v>554</v>
      </c>
      <c r="E14" s="298">
        <f>SUM(F14:I14)</f>
        <v>1050000</v>
      </c>
      <c r="F14" s="490" t="s">
        <v>227</v>
      </c>
      <c r="G14" s="490">
        <f>950000+100000</f>
        <v>1050000</v>
      </c>
      <c r="H14" s="490"/>
      <c r="I14" s="490"/>
    </row>
    <row r="15" spans="1:9" ht="12.75">
      <c r="A15" s="650"/>
      <c r="B15" s="649"/>
      <c r="C15" s="648"/>
      <c r="D15" s="494" t="s">
        <v>555</v>
      </c>
      <c r="E15" s="333"/>
      <c r="F15" s="333"/>
      <c r="G15" s="333">
        <v>400000</v>
      </c>
      <c r="H15" s="490"/>
      <c r="I15" s="490"/>
    </row>
    <row r="16" spans="1:9" ht="12.75">
      <c r="A16" s="650"/>
      <c r="B16" s="649"/>
      <c r="C16" s="648"/>
      <c r="D16" s="494" t="s">
        <v>557</v>
      </c>
      <c r="E16" s="333"/>
      <c r="F16" s="333"/>
      <c r="G16" s="333">
        <v>100000</v>
      </c>
      <c r="H16" s="490"/>
      <c r="I16" s="490"/>
    </row>
    <row r="17" spans="1:9" ht="12.75">
      <c r="A17" s="650"/>
      <c r="B17" s="649"/>
      <c r="C17" s="648"/>
      <c r="D17" s="494" t="s">
        <v>556</v>
      </c>
      <c r="E17" s="333"/>
      <c r="F17" s="333"/>
      <c r="G17" s="333">
        <v>550000</v>
      </c>
      <c r="H17" s="490"/>
      <c r="I17" s="490"/>
    </row>
    <row r="18" spans="1:9" ht="12.75">
      <c r="A18" s="479" t="s">
        <v>10</v>
      </c>
      <c r="B18" s="301">
        <v>921</v>
      </c>
      <c r="C18" s="302">
        <v>92109</v>
      </c>
      <c r="D18" s="303" t="s">
        <v>374</v>
      </c>
      <c r="E18" s="298">
        <f>SUM(F18:I18)</f>
        <v>954950</v>
      </c>
      <c r="F18" s="490">
        <v>954950</v>
      </c>
      <c r="G18" s="490"/>
      <c r="H18" s="490"/>
      <c r="I18" s="490"/>
    </row>
    <row r="19" spans="1:9" ht="12.75">
      <c r="A19" s="479" t="s">
        <v>13</v>
      </c>
      <c r="B19" s="301">
        <v>921</v>
      </c>
      <c r="C19" s="302">
        <v>92116</v>
      </c>
      <c r="D19" s="303" t="s">
        <v>375</v>
      </c>
      <c r="E19" s="298">
        <f>SUM(F19:I19)</f>
        <v>662200</v>
      </c>
      <c r="F19" s="490">
        <v>662200</v>
      </c>
      <c r="G19" s="490"/>
      <c r="H19" s="490"/>
      <c r="I19" s="490"/>
    </row>
    <row r="20" spans="1:9" ht="13.5" thickBot="1">
      <c r="A20" s="300"/>
      <c r="B20" s="300"/>
      <c r="C20" s="300"/>
      <c r="D20" s="300"/>
      <c r="E20" s="300"/>
      <c r="F20" s="304"/>
      <c r="G20" s="304"/>
      <c r="H20" s="304"/>
      <c r="I20" s="304"/>
    </row>
    <row r="21" spans="1:9" ht="48" customHeight="1" thickBot="1">
      <c r="A21" s="646" t="s">
        <v>376</v>
      </c>
      <c r="B21" s="647"/>
      <c r="C21" s="647"/>
      <c r="D21" s="219" t="s">
        <v>28</v>
      </c>
      <c r="E21" s="344">
        <f>SUM(E22,E25,E32,E33,E34,E35)</f>
        <v>2786534</v>
      </c>
      <c r="F21" s="344">
        <f>SUM(F22,F25,F32,F33,F34,F35)</f>
        <v>2002334</v>
      </c>
      <c r="G21" s="344">
        <f>SUM(G22,G25,G32,G33,G34,G35)</f>
        <v>0</v>
      </c>
      <c r="H21" s="344">
        <f>SUM(H22,H25,H32,H33,H34,H35)</f>
        <v>784200</v>
      </c>
      <c r="I21" s="344">
        <f>SUM(I22,I25,I32,I33,I34,I35)</f>
        <v>0</v>
      </c>
    </row>
    <row r="22" spans="1:9" ht="12.75">
      <c r="A22" s="491" t="s">
        <v>7</v>
      </c>
      <c r="B22" s="305">
        <v>754</v>
      </c>
      <c r="C22" s="306" t="s">
        <v>227</v>
      </c>
      <c r="D22" s="307" t="s">
        <v>432</v>
      </c>
      <c r="E22" s="308">
        <f>SUM(F22:I22)</f>
        <v>86000</v>
      </c>
      <c r="F22" s="308"/>
      <c r="G22" s="308"/>
      <c r="H22" s="309">
        <v>86000</v>
      </c>
      <c r="I22" s="310" t="s">
        <v>227</v>
      </c>
    </row>
    <row r="23" spans="1:9" ht="34.5" customHeight="1">
      <c r="A23" s="311" t="s">
        <v>227</v>
      </c>
      <c r="B23" s="311" t="s">
        <v>227</v>
      </c>
      <c r="C23" s="312">
        <v>75412</v>
      </c>
      <c r="D23" s="313" t="s">
        <v>558</v>
      </c>
      <c r="E23" s="314">
        <f>SUM(F23:I23)</f>
        <v>61000</v>
      </c>
      <c r="F23" s="314"/>
      <c r="G23" s="314"/>
      <c r="H23" s="314">
        <v>61000</v>
      </c>
      <c r="I23" s="314" t="s">
        <v>227</v>
      </c>
    </row>
    <row r="24" spans="1:9" ht="33.75">
      <c r="A24" s="300" t="s">
        <v>227</v>
      </c>
      <c r="B24" s="300" t="s">
        <v>227</v>
      </c>
      <c r="C24" s="315">
        <v>75412</v>
      </c>
      <c r="D24" s="316" t="s">
        <v>559</v>
      </c>
      <c r="E24" s="317">
        <f>SUM(F24:I24)</f>
        <v>25000</v>
      </c>
      <c r="F24" s="317"/>
      <c r="G24" s="317"/>
      <c r="H24" s="317">
        <v>25000</v>
      </c>
      <c r="I24" s="317" t="s">
        <v>227</v>
      </c>
    </row>
    <row r="25" spans="1:9" ht="24.75" customHeight="1">
      <c r="A25" s="318" t="s">
        <v>8</v>
      </c>
      <c r="B25" s="318">
        <v>801</v>
      </c>
      <c r="C25" s="319" t="s">
        <v>227</v>
      </c>
      <c r="D25" s="320" t="s">
        <v>434</v>
      </c>
      <c r="E25" s="321">
        <f>SUM(E27:E30)</f>
        <v>2037334</v>
      </c>
      <c r="F25" s="321">
        <f>SUM(F27:F30)</f>
        <v>2002334</v>
      </c>
      <c r="G25" s="321">
        <f>SUM(G27:G30)</f>
        <v>0</v>
      </c>
      <c r="H25" s="321">
        <f>SUM(H27:H30)</f>
        <v>35000</v>
      </c>
      <c r="I25" s="321">
        <f>SUM(I27:I30)</f>
        <v>0</v>
      </c>
    </row>
    <row r="26" spans="1:9" ht="12.75">
      <c r="A26" s="322"/>
      <c r="B26" s="322"/>
      <c r="C26" s="323"/>
      <c r="D26" s="324" t="s">
        <v>433</v>
      </c>
      <c r="E26" s="325"/>
      <c r="F26" s="326"/>
      <c r="G26" s="326"/>
      <c r="H26" s="326"/>
      <c r="I26" s="326"/>
    </row>
    <row r="27" spans="1:9" ht="22.5">
      <c r="A27" s="327"/>
      <c r="B27" s="327" t="s">
        <v>227</v>
      </c>
      <c r="C27" s="328">
        <v>80101</v>
      </c>
      <c r="D27" s="329" t="s">
        <v>435</v>
      </c>
      <c r="E27" s="298">
        <f aca="true" t="shared" si="0" ref="E27:E35">SUM(F27:I27)</f>
        <v>1080549</v>
      </c>
      <c r="F27" s="299">
        <v>1080549</v>
      </c>
      <c r="G27" s="299"/>
      <c r="H27" s="299"/>
      <c r="I27" s="299"/>
    </row>
    <row r="28" spans="1:9" ht="22.5">
      <c r="A28" s="327" t="s">
        <v>227</v>
      </c>
      <c r="B28" s="301" t="s">
        <v>227</v>
      </c>
      <c r="C28" s="302">
        <v>80104</v>
      </c>
      <c r="D28" s="329" t="s">
        <v>551</v>
      </c>
      <c r="E28" s="298">
        <f t="shared" si="0"/>
        <v>50880</v>
      </c>
      <c r="F28" s="299">
        <v>50880</v>
      </c>
      <c r="G28" s="299"/>
      <c r="H28" s="299"/>
      <c r="I28" s="299"/>
    </row>
    <row r="29" spans="1:9" ht="22.5">
      <c r="A29" s="327" t="s">
        <v>227</v>
      </c>
      <c r="B29" s="301" t="s">
        <v>227</v>
      </c>
      <c r="C29" s="330">
        <v>80110</v>
      </c>
      <c r="D29" s="331" t="s">
        <v>377</v>
      </c>
      <c r="E29" s="298">
        <f t="shared" si="0"/>
        <v>870905</v>
      </c>
      <c r="F29" s="299">
        <v>870905</v>
      </c>
      <c r="G29" s="299"/>
      <c r="H29" s="299"/>
      <c r="I29" s="299"/>
    </row>
    <row r="30" spans="1:9" ht="12.75">
      <c r="A30" s="653" t="s">
        <v>227</v>
      </c>
      <c r="B30" s="653" t="s">
        <v>227</v>
      </c>
      <c r="C30" s="651">
        <v>80195</v>
      </c>
      <c r="D30" s="329" t="s">
        <v>454</v>
      </c>
      <c r="E30" s="298">
        <f t="shared" si="0"/>
        <v>35000</v>
      </c>
      <c r="F30" s="299"/>
      <c r="G30" s="299"/>
      <c r="H30" s="299">
        <v>35000</v>
      </c>
      <c r="I30" s="299" t="s">
        <v>227</v>
      </c>
    </row>
    <row r="31" spans="1:9" ht="22.5">
      <c r="A31" s="654"/>
      <c r="B31" s="654"/>
      <c r="C31" s="652"/>
      <c r="D31" s="332" t="s">
        <v>431</v>
      </c>
      <c r="E31" s="333">
        <f t="shared" si="0"/>
        <v>35000</v>
      </c>
      <c r="F31" s="334"/>
      <c r="G31" s="334"/>
      <c r="H31" s="334">
        <v>35000</v>
      </c>
      <c r="I31" s="334" t="s">
        <v>227</v>
      </c>
    </row>
    <row r="32" spans="1:9" ht="16.5" customHeight="1">
      <c r="A32" s="336" t="s">
        <v>9</v>
      </c>
      <c r="B32" s="336">
        <v>851</v>
      </c>
      <c r="C32" s="337">
        <v>85154</v>
      </c>
      <c r="D32" s="492" t="s">
        <v>106</v>
      </c>
      <c r="E32" s="339">
        <f t="shared" si="0"/>
        <v>93200</v>
      </c>
      <c r="F32" s="493"/>
      <c r="G32" s="493"/>
      <c r="H32" s="493">
        <v>93200</v>
      </c>
      <c r="I32" s="493" t="s">
        <v>227</v>
      </c>
    </row>
    <row r="33" spans="1:9" ht="38.25" customHeight="1">
      <c r="A33" s="336" t="s">
        <v>1</v>
      </c>
      <c r="B33" s="336">
        <v>921</v>
      </c>
      <c r="C33" s="337">
        <v>92108</v>
      </c>
      <c r="D33" s="495" t="s">
        <v>564</v>
      </c>
      <c r="E33" s="339">
        <f t="shared" si="0"/>
        <v>50000</v>
      </c>
      <c r="F33" s="493" t="s">
        <v>227</v>
      </c>
      <c r="G33" s="493"/>
      <c r="H33" s="493">
        <v>50000</v>
      </c>
      <c r="I33" s="493" t="s">
        <v>227</v>
      </c>
    </row>
    <row r="34" spans="1:9" ht="12.75">
      <c r="A34" s="335" t="s">
        <v>10</v>
      </c>
      <c r="B34" s="336">
        <v>921</v>
      </c>
      <c r="C34" s="337">
        <v>92195</v>
      </c>
      <c r="D34" s="483" t="s">
        <v>380</v>
      </c>
      <c r="E34" s="339">
        <f t="shared" si="0"/>
        <v>10000</v>
      </c>
      <c r="F34" s="340" t="s">
        <v>227</v>
      </c>
      <c r="G34" s="340"/>
      <c r="H34" s="340">
        <v>10000</v>
      </c>
      <c r="I34" s="340" t="s">
        <v>227</v>
      </c>
    </row>
    <row r="35" spans="1:9" ht="22.5">
      <c r="A35" s="335" t="s">
        <v>13</v>
      </c>
      <c r="B35" s="336">
        <v>926</v>
      </c>
      <c r="C35" s="341">
        <v>92605</v>
      </c>
      <c r="D35" s="484" t="s">
        <v>114</v>
      </c>
      <c r="E35" s="339">
        <f t="shared" si="0"/>
        <v>510000</v>
      </c>
      <c r="F35" s="340" t="s">
        <v>227</v>
      </c>
      <c r="G35" s="340"/>
      <c r="H35" s="340">
        <v>510000</v>
      </c>
      <c r="I35" s="340" t="s">
        <v>227</v>
      </c>
    </row>
    <row r="36" spans="1:9" ht="12.75">
      <c r="A36" s="327" t="s">
        <v>227</v>
      </c>
      <c r="B36" s="301" t="s">
        <v>227</v>
      </c>
      <c r="C36" s="327"/>
      <c r="D36" s="338"/>
      <c r="E36" s="301"/>
      <c r="F36" s="299"/>
      <c r="G36" s="299"/>
      <c r="H36" s="299"/>
      <c r="I36" s="299"/>
    </row>
    <row r="37" spans="1:9" ht="12.75">
      <c r="A37" s="342"/>
      <c r="B37" s="342"/>
      <c r="C37" s="342"/>
      <c r="D37" s="342"/>
      <c r="E37" s="342"/>
      <c r="F37" s="343"/>
      <c r="G37" s="343"/>
      <c r="H37" s="343"/>
      <c r="I37" s="343"/>
    </row>
    <row r="38" spans="1:9" s="198" customFormat="1" ht="30" customHeight="1">
      <c r="A38" s="640" t="s">
        <v>378</v>
      </c>
      <c r="B38" s="641"/>
      <c r="C38" s="641"/>
      <c r="D38" s="642"/>
      <c r="E38" s="482">
        <f>SUM(E10,E21)</f>
        <v>6243684</v>
      </c>
      <c r="F38" s="482">
        <f>SUM(F10,F21)</f>
        <v>3619484</v>
      </c>
      <c r="G38" s="482">
        <f>SUM(G10,G21)</f>
        <v>1050000</v>
      </c>
      <c r="H38" s="482">
        <f>SUM(H10,H21)</f>
        <v>1574200</v>
      </c>
      <c r="I38" s="482">
        <f>SUM(I10,I21)</f>
        <v>745000</v>
      </c>
    </row>
    <row r="40" ht="12.75">
      <c r="A40" s="201"/>
    </row>
    <row r="41" ht="12.75">
      <c r="G41" s="345" t="s">
        <v>227</v>
      </c>
    </row>
  </sheetData>
  <mergeCells count="19">
    <mergeCell ref="A38:D38"/>
    <mergeCell ref="A10:C10"/>
    <mergeCell ref="A21:C21"/>
    <mergeCell ref="C14:C17"/>
    <mergeCell ref="B14:B17"/>
    <mergeCell ref="A14:A17"/>
    <mergeCell ref="C30:C31"/>
    <mergeCell ref="B30:B31"/>
    <mergeCell ref="A30:A31"/>
    <mergeCell ref="A3:I3"/>
    <mergeCell ref="A5:A8"/>
    <mergeCell ref="B5:B8"/>
    <mergeCell ref="C5:C8"/>
    <mergeCell ref="D5:D8"/>
    <mergeCell ref="F5:I6"/>
    <mergeCell ref="E5:E8"/>
    <mergeCell ref="G7:G8"/>
    <mergeCell ref="F7:F8"/>
    <mergeCell ref="H7:H8"/>
  </mergeCells>
  <printOptions/>
  <pageMargins left="0.5905511811023623" right="0.1968503937007874" top="1.3779527559055118" bottom="0.984251968503937" header="0.5118110236220472" footer="0.5118110236220472"/>
  <pageSetup horizontalDpi="600" verticalDpi="600" orientation="portrait" paperSize="9" r:id="rId1"/>
  <headerFooter alignWithMargins="0">
    <oddHeader xml:space="preserve">&amp;RZałącznik nr 1
do Uchwały  Nr LIII/415/2010
Rady  Miejskiej w Łowiczu
z dnia 21 stycznia 2010 roku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F12" sqref="F1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9.625" style="0" customWidth="1"/>
    <col min="7" max="7" width="10.875" style="0" customWidth="1"/>
    <col min="8" max="8" width="11.625" style="0" customWidth="1"/>
    <col min="9" max="9" width="9.25390625" style="0" customWidth="1"/>
    <col min="10" max="10" width="14.125" style="0" customWidth="1"/>
    <col min="11" max="11" width="13.625" style="0" customWidth="1"/>
  </cols>
  <sheetData>
    <row r="1" spans="1:10" ht="16.5">
      <c r="A1" s="656" t="s">
        <v>438</v>
      </c>
      <c r="B1" s="656"/>
      <c r="C1" s="656"/>
      <c r="D1" s="656"/>
      <c r="E1" s="656"/>
      <c r="F1" s="656"/>
      <c r="G1" s="656"/>
      <c r="H1" s="656"/>
      <c r="I1" s="656"/>
      <c r="J1" s="656"/>
    </row>
    <row r="2" spans="1:10" ht="16.5">
      <c r="A2" s="656" t="s">
        <v>227</v>
      </c>
      <c r="B2" s="656"/>
      <c r="C2" s="656"/>
      <c r="D2" s="656"/>
      <c r="E2" s="656"/>
      <c r="F2" s="656"/>
      <c r="G2" s="656"/>
      <c r="H2" s="656"/>
      <c r="I2" s="656"/>
      <c r="J2" s="656"/>
    </row>
    <row r="3" spans="1:10" ht="6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256" t="s">
        <v>27</v>
      </c>
    </row>
    <row r="5" spans="1:11" ht="15" customHeight="1">
      <c r="A5" s="506" t="s">
        <v>38</v>
      </c>
      <c r="B5" s="506" t="s">
        <v>0</v>
      </c>
      <c r="C5" s="511" t="s">
        <v>402</v>
      </c>
      <c r="D5" s="536" t="s">
        <v>403</v>
      </c>
      <c r="E5" s="540"/>
      <c r="F5" s="540"/>
      <c r="G5" s="537"/>
      <c r="H5" s="511" t="s">
        <v>404</v>
      </c>
      <c r="I5" s="511"/>
      <c r="J5" s="511" t="s">
        <v>405</v>
      </c>
      <c r="K5" s="511" t="s">
        <v>406</v>
      </c>
    </row>
    <row r="6" spans="1:11" ht="15" customHeight="1">
      <c r="A6" s="506"/>
      <c r="B6" s="506"/>
      <c r="C6" s="511"/>
      <c r="D6" s="511" t="s">
        <v>407</v>
      </c>
      <c r="E6" s="659" t="s">
        <v>6</v>
      </c>
      <c r="F6" s="660"/>
      <c r="G6" s="661"/>
      <c r="H6" s="511" t="s">
        <v>407</v>
      </c>
      <c r="I6" s="511" t="s">
        <v>408</v>
      </c>
      <c r="J6" s="511"/>
      <c r="K6" s="511"/>
    </row>
    <row r="7" spans="1:11" ht="18" customHeight="1">
      <c r="A7" s="506"/>
      <c r="B7" s="506"/>
      <c r="C7" s="511"/>
      <c r="D7" s="511"/>
      <c r="E7" s="657" t="s">
        <v>409</v>
      </c>
      <c r="F7" s="659" t="s">
        <v>6</v>
      </c>
      <c r="G7" s="661"/>
      <c r="H7" s="511"/>
      <c r="I7" s="511"/>
      <c r="J7" s="511"/>
      <c r="K7" s="511"/>
    </row>
    <row r="8" spans="1:11" ht="42" customHeight="1">
      <c r="A8" s="506"/>
      <c r="B8" s="506"/>
      <c r="C8" s="511"/>
      <c r="D8" s="511"/>
      <c r="E8" s="658"/>
      <c r="F8" s="257" t="s">
        <v>410</v>
      </c>
      <c r="G8" s="257" t="s">
        <v>411</v>
      </c>
      <c r="H8" s="511"/>
      <c r="I8" s="511"/>
      <c r="J8" s="511"/>
      <c r="K8" s="511"/>
    </row>
    <row r="9" spans="1:1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ht="19.5" customHeight="1">
      <c r="A10" s="258" t="s">
        <v>412</v>
      </c>
      <c r="B10" s="259" t="s">
        <v>413</v>
      </c>
      <c r="C10" s="260">
        <f>SUM(C12)</f>
        <v>296200</v>
      </c>
      <c r="D10" s="260">
        <f>SUM(D12)</f>
        <v>14723000</v>
      </c>
      <c r="E10" s="260">
        <f>SUM(F10:G10)</f>
        <v>1050000</v>
      </c>
      <c r="F10" s="260">
        <f>SUM(F12)</f>
        <v>1050000</v>
      </c>
      <c r="G10" s="260">
        <f>SUM(G12)</f>
        <v>0</v>
      </c>
      <c r="H10" s="260">
        <f>SUM(H12)</f>
        <v>14656000</v>
      </c>
      <c r="I10" s="260">
        <f>SUM(I12)</f>
        <v>0</v>
      </c>
      <c r="J10" s="260">
        <f>SUM(J12)</f>
        <v>363200</v>
      </c>
      <c r="K10" s="258" t="s">
        <v>199</v>
      </c>
    </row>
    <row r="11" spans="1:11" ht="19.5" customHeight="1">
      <c r="A11" s="261"/>
      <c r="B11" s="262" t="s">
        <v>41</v>
      </c>
      <c r="C11" s="263"/>
      <c r="D11" s="263"/>
      <c r="E11" s="260" t="s">
        <v>227</v>
      </c>
      <c r="F11" s="263"/>
      <c r="G11" s="263"/>
      <c r="H11" s="263"/>
      <c r="I11" s="263"/>
      <c r="J11" s="263"/>
      <c r="K11" s="261"/>
    </row>
    <row r="12" spans="1:11" ht="19.5" customHeight="1">
      <c r="A12" s="261"/>
      <c r="B12" s="264" t="s">
        <v>414</v>
      </c>
      <c r="C12" s="263">
        <v>296200</v>
      </c>
      <c r="D12" s="263">
        <f>14623000+100000</f>
        <v>14723000</v>
      </c>
      <c r="E12" s="260">
        <f>SUM(F12:G12)</f>
        <v>1050000</v>
      </c>
      <c r="F12" s="263">
        <f>950000+100000</f>
        <v>1050000</v>
      </c>
      <c r="G12" s="263">
        <v>0</v>
      </c>
      <c r="H12" s="263">
        <f>14556000+100000</f>
        <v>14656000</v>
      </c>
      <c r="I12" s="263">
        <v>0</v>
      </c>
      <c r="J12" s="263">
        <v>363200</v>
      </c>
      <c r="K12" s="261" t="s">
        <v>199</v>
      </c>
    </row>
    <row r="13" spans="1:11" ht="19.5" customHeight="1">
      <c r="A13" s="261"/>
      <c r="B13" s="264" t="s">
        <v>227</v>
      </c>
      <c r="C13" s="263"/>
      <c r="D13" s="263"/>
      <c r="E13" s="263"/>
      <c r="F13" s="263"/>
      <c r="G13" s="263"/>
      <c r="H13" s="263"/>
      <c r="I13" s="263"/>
      <c r="J13" s="263"/>
      <c r="K13" s="261" t="s">
        <v>199</v>
      </c>
    </row>
    <row r="14" spans="1:11" ht="19.5" customHeight="1">
      <c r="A14" s="261"/>
      <c r="B14" s="264" t="s">
        <v>227</v>
      </c>
      <c r="C14" s="263"/>
      <c r="D14" s="263"/>
      <c r="E14" s="263"/>
      <c r="F14" s="263"/>
      <c r="G14" s="263"/>
      <c r="H14" s="263"/>
      <c r="I14" s="263"/>
      <c r="J14" s="263"/>
      <c r="K14" s="261" t="s">
        <v>199</v>
      </c>
    </row>
    <row r="15" spans="1:11" ht="19.5" customHeight="1">
      <c r="A15" s="265"/>
      <c r="B15" s="266" t="s">
        <v>227</v>
      </c>
      <c r="C15" s="267"/>
      <c r="D15" s="267"/>
      <c r="E15" s="267"/>
      <c r="F15" s="267"/>
      <c r="G15" s="267"/>
      <c r="H15" s="267"/>
      <c r="I15" s="267"/>
      <c r="J15" s="267"/>
      <c r="K15" s="265" t="s">
        <v>199</v>
      </c>
    </row>
    <row r="16" spans="1:11" s="270" customFormat="1" ht="19.5" customHeight="1">
      <c r="A16" s="655" t="s">
        <v>50</v>
      </c>
      <c r="B16" s="655"/>
      <c r="C16" s="268">
        <f aca="true" t="shared" si="0" ref="C16:J16">SUM(C10)</f>
        <v>296200</v>
      </c>
      <c r="D16" s="268">
        <f t="shared" si="0"/>
        <v>14723000</v>
      </c>
      <c r="E16" s="268">
        <f t="shared" si="0"/>
        <v>1050000</v>
      </c>
      <c r="F16" s="268">
        <f t="shared" si="0"/>
        <v>1050000</v>
      </c>
      <c r="G16" s="268">
        <f t="shared" si="0"/>
        <v>0</v>
      </c>
      <c r="H16" s="268">
        <f t="shared" si="0"/>
        <v>14656000</v>
      </c>
      <c r="I16" s="268">
        <f t="shared" si="0"/>
        <v>0</v>
      </c>
      <c r="J16" s="268">
        <f t="shared" si="0"/>
        <v>363200</v>
      </c>
      <c r="K16" s="269"/>
    </row>
    <row r="17" ht="4.5" customHeight="1"/>
    <row r="18" ht="12.75" customHeight="1">
      <c r="A18" s="7" t="s">
        <v>227</v>
      </c>
    </row>
    <row r="19" ht="12.75">
      <c r="A19" s="7" t="s">
        <v>227</v>
      </c>
    </row>
    <row r="20" ht="12.75">
      <c r="A20" s="7" t="s">
        <v>227</v>
      </c>
    </row>
    <row r="21" ht="12.75">
      <c r="A21" s="7" t="s">
        <v>227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16:B16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 2
do Uchwały Nr LIII/415/2010
Rady Miejskiej w Łowiczu
z dnia 21 stycznia 2010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defaultGridColor="0" colorId="8" workbookViewId="0" topLeftCell="A2">
      <selection activeCell="C5" sqref="C5:C7"/>
    </sheetView>
  </sheetViews>
  <sheetFormatPr defaultColWidth="9.00390625" defaultRowHeight="12.75"/>
  <cols>
    <col min="1" max="1" width="10.00390625" style="1" customWidth="1"/>
    <col min="2" max="2" width="21.125" style="1" customWidth="1"/>
    <col min="3" max="3" width="23.875" style="1" customWidth="1"/>
    <col min="4" max="4" width="32.375" style="1" customWidth="1"/>
    <col min="5" max="5" width="14.875" style="1" customWidth="1"/>
    <col min="6" max="6" width="13.625" style="1" customWidth="1"/>
    <col min="7" max="7" width="15.625" style="0" customWidth="1"/>
    <col min="8" max="8" width="14.875" style="0" customWidth="1"/>
    <col min="9" max="9" width="14.125" style="0" customWidth="1"/>
    <col min="10" max="10" width="15.875" style="0" customWidth="1"/>
  </cols>
  <sheetData>
    <row r="1" spans="9:10" ht="12.75">
      <c r="I1" s="509"/>
      <c r="J1" s="509"/>
    </row>
    <row r="2" spans="8:10" ht="12.75">
      <c r="H2" s="1"/>
      <c r="I2" s="1"/>
      <c r="J2" s="1"/>
    </row>
    <row r="3" spans="1:10" ht="48.75" customHeight="1">
      <c r="A3" s="510" t="s">
        <v>437</v>
      </c>
      <c r="B3" s="510"/>
      <c r="C3" s="510"/>
      <c r="D3" s="510"/>
      <c r="E3" s="47"/>
      <c r="F3" s="47"/>
      <c r="G3" s="47"/>
      <c r="H3" s="47"/>
      <c r="I3" s="47"/>
      <c r="J3" s="47"/>
    </row>
    <row r="4" spans="5:11" ht="12.75">
      <c r="E4" s="48"/>
      <c r="F4" s="48"/>
      <c r="G4" s="54"/>
      <c r="H4" s="54"/>
      <c r="I4" s="54"/>
      <c r="J4" s="49"/>
      <c r="K4" s="44"/>
    </row>
    <row r="5" spans="1:10" s="2" customFormat="1" ht="20.25" customHeight="1">
      <c r="A5" s="506" t="s">
        <v>2</v>
      </c>
      <c r="B5" s="507" t="s">
        <v>3</v>
      </c>
      <c r="C5" s="507" t="s">
        <v>4</v>
      </c>
      <c r="D5" s="511" t="s">
        <v>224</v>
      </c>
      <c r="E5" s="37"/>
      <c r="F5" s="37"/>
      <c r="G5" s="37"/>
      <c r="H5" s="37"/>
      <c r="I5" s="37"/>
      <c r="J5" s="37"/>
    </row>
    <row r="6" spans="1:10" s="2" customFormat="1" ht="20.25" customHeight="1">
      <c r="A6" s="506"/>
      <c r="B6" s="508"/>
      <c r="C6" s="508"/>
      <c r="D6" s="506"/>
      <c r="E6" s="37"/>
      <c r="F6" s="37"/>
      <c r="G6" s="37"/>
      <c r="H6" s="37"/>
      <c r="I6" s="37"/>
      <c r="J6" s="37"/>
    </row>
    <row r="7" spans="1:10" s="2" customFormat="1" ht="65.25" customHeight="1">
      <c r="A7" s="506"/>
      <c r="B7" s="499"/>
      <c r="C7" s="499"/>
      <c r="D7" s="506"/>
      <c r="E7" s="37"/>
      <c r="F7" s="37"/>
      <c r="G7" s="37"/>
      <c r="H7" s="37"/>
      <c r="I7" s="37"/>
      <c r="J7" s="37"/>
    </row>
    <row r="8" spans="1:11" ht="9" customHeight="1">
      <c r="A8" s="5">
        <v>1</v>
      </c>
      <c r="B8" s="5">
        <v>2</v>
      </c>
      <c r="C8" s="5">
        <v>3</v>
      </c>
      <c r="D8" s="5">
        <v>4</v>
      </c>
      <c r="E8" s="50"/>
      <c r="F8" s="50"/>
      <c r="G8" s="50"/>
      <c r="H8" s="50"/>
      <c r="I8" s="50"/>
      <c r="J8" s="50"/>
      <c r="K8" s="44"/>
    </row>
    <row r="9" spans="1:11" ht="19.5" customHeight="1">
      <c r="A9" s="10">
        <v>750</v>
      </c>
      <c r="B9" s="10">
        <v>75011</v>
      </c>
      <c r="C9" s="10">
        <v>2010</v>
      </c>
      <c r="D9" s="250">
        <v>236876</v>
      </c>
      <c r="E9" s="51"/>
      <c r="F9" s="51"/>
      <c r="G9" s="51"/>
      <c r="H9" s="52"/>
      <c r="I9" s="52"/>
      <c r="J9" s="51"/>
      <c r="K9" s="44"/>
    </row>
    <row r="10" spans="1:11" ht="19.5" customHeight="1" hidden="1">
      <c r="A10" s="10"/>
      <c r="B10" s="10"/>
      <c r="C10" s="10"/>
      <c r="D10" s="250"/>
      <c r="E10" s="51"/>
      <c r="F10" s="51"/>
      <c r="G10" s="51"/>
      <c r="H10" s="52"/>
      <c r="I10" s="52"/>
      <c r="J10" s="51"/>
      <c r="K10" s="44"/>
    </row>
    <row r="11" spans="1:11" ht="19.5" customHeight="1">
      <c r="A11" s="10">
        <v>751</v>
      </c>
      <c r="B11" s="10">
        <v>75101</v>
      </c>
      <c r="C11" s="10">
        <v>2010</v>
      </c>
      <c r="D11" s="250">
        <v>5200</v>
      </c>
      <c r="E11" s="51"/>
      <c r="F11" s="51"/>
      <c r="G11" s="51"/>
      <c r="H11" s="52"/>
      <c r="I11" s="52"/>
      <c r="J11" s="51"/>
      <c r="K11" s="44"/>
    </row>
    <row r="12" spans="1:11" ht="19.5" customHeight="1" hidden="1">
      <c r="A12" s="10"/>
      <c r="B12" s="10"/>
      <c r="C12" s="10"/>
      <c r="D12" s="250"/>
      <c r="E12" s="51"/>
      <c r="F12" s="51"/>
      <c r="G12" s="51"/>
      <c r="H12" s="52"/>
      <c r="I12" s="52"/>
      <c r="J12" s="51"/>
      <c r="K12" s="44"/>
    </row>
    <row r="13" spans="1:11" ht="19.5" customHeight="1">
      <c r="A13" s="10">
        <v>754</v>
      </c>
      <c r="B13" s="10">
        <v>75414</v>
      </c>
      <c r="C13" s="10">
        <v>2010</v>
      </c>
      <c r="D13" s="250">
        <v>3500</v>
      </c>
      <c r="E13" s="51"/>
      <c r="F13" s="51"/>
      <c r="G13" s="51"/>
      <c r="H13" s="52"/>
      <c r="I13" s="52"/>
      <c r="J13" s="51"/>
      <c r="K13" s="44"/>
    </row>
    <row r="14" spans="1:11" ht="19.5" customHeight="1" hidden="1">
      <c r="A14" s="10"/>
      <c r="B14" s="10"/>
      <c r="C14" s="10"/>
      <c r="D14" s="250"/>
      <c r="E14" s="51"/>
      <c r="F14" s="51"/>
      <c r="G14" s="51"/>
      <c r="H14" s="52"/>
      <c r="I14" s="52"/>
      <c r="J14" s="51"/>
      <c r="K14" s="44"/>
    </row>
    <row r="15" spans="1:11" ht="19.5" customHeight="1">
      <c r="A15" s="10">
        <v>852</v>
      </c>
      <c r="B15" s="10">
        <v>85203</v>
      </c>
      <c r="C15" s="10">
        <v>2010</v>
      </c>
      <c r="D15" s="250">
        <v>253800</v>
      </c>
      <c r="E15" s="51"/>
      <c r="F15" s="51"/>
      <c r="G15" s="51"/>
      <c r="H15" s="52"/>
      <c r="I15" s="52"/>
      <c r="J15" s="51"/>
      <c r="K15" s="44"/>
    </row>
    <row r="16" spans="1:11" ht="19.5" customHeight="1">
      <c r="A16" s="10">
        <v>852</v>
      </c>
      <c r="B16" s="10">
        <v>85212</v>
      </c>
      <c r="C16" s="10">
        <v>2010</v>
      </c>
      <c r="D16" s="250">
        <v>5333664</v>
      </c>
      <c r="E16" s="51"/>
      <c r="F16" s="51"/>
      <c r="G16" s="51"/>
      <c r="H16" s="52"/>
      <c r="I16" s="52"/>
      <c r="J16" s="51"/>
      <c r="K16" s="44"/>
    </row>
    <row r="17" spans="1:11" ht="19.5" customHeight="1">
      <c r="A17" s="10">
        <v>852</v>
      </c>
      <c r="B17" s="10">
        <v>85213</v>
      </c>
      <c r="C17" s="10">
        <v>2010</v>
      </c>
      <c r="D17" s="250">
        <v>5981</v>
      </c>
      <c r="E17" s="51"/>
      <c r="F17" s="51"/>
      <c r="G17" s="51"/>
      <c r="H17" s="52"/>
      <c r="I17" s="52"/>
      <c r="J17" s="51"/>
      <c r="K17" s="44"/>
    </row>
    <row r="18" spans="1:11" ht="19.5" customHeight="1">
      <c r="A18" s="10">
        <v>852</v>
      </c>
      <c r="B18" s="10">
        <v>85216</v>
      </c>
      <c r="C18" s="10">
        <v>2010</v>
      </c>
      <c r="D18" s="250">
        <v>325952</v>
      </c>
      <c r="E18" s="51"/>
      <c r="F18" s="51"/>
      <c r="G18" s="51"/>
      <c r="H18" s="52"/>
      <c r="I18" s="52"/>
      <c r="J18" s="51"/>
      <c r="K18" s="44"/>
    </row>
    <row r="19" spans="1:11" ht="19.5" customHeight="1">
      <c r="A19" s="10">
        <v>852</v>
      </c>
      <c r="B19" s="10">
        <v>85228</v>
      </c>
      <c r="C19" s="10">
        <v>2010</v>
      </c>
      <c r="D19" s="250">
        <v>111654</v>
      </c>
      <c r="E19" s="51"/>
      <c r="F19" s="51"/>
      <c r="G19" s="51"/>
      <c r="H19" s="52"/>
      <c r="I19" s="52"/>
      <c r="J19" s="51"/>
      <c r="K19" s="44"/>
    </row>
    <row r="20" spans="1:11" ht="19.5" customHeight="1" hidden="1">
      <c r="A20" s="10"/>
      <c r="B20" s="10"/>
      <c r="C20" s="10"/>
      <c r="D20" s="250"/>
      <c r="E20" s="51"/>
      <c r="F20" s="51"/>
      <c r="G20" s="51"/>
      <c r="H20" s="52"/>
      <c r="I20" s="52"/>
      <c r="J20" s="51"/>
      <c r="K20" s="44"/>
    </row>
    <row r="21" spans="1:11" ht="19.5" customHeight="1">
      <c r="A21" s="516" t="s">
        <v>50</v>
      </c>
      <c r="B21" s="517"/>
      <c r="C21" s="518"/>
      <c r="D21" s="252">
        <f>SUM(D9:D20)</f>
        <v>6276627</v>
      </c>
      <c r="E21" s="53"/>
      <c r="F21" s="53"/>
      <c r="G21" s="53"/>
      <c r="H21" s="53"/>
      <c r="I21" s="53"/>
      <c r="J21" s="53"/>
      <c r="K21" s="44"/>
    </row>
    <row r="23" ht="12.75">
      <c r="A23" s="6"/>
    </row>
  </sheetData>
  <mergeCells count="7">
    <mergeCell ref="A21:C21"/>
    <mergeCell ref="I1:J1"/>
    <mergeCell ref="A3:D3"/>
    <mergeCell ref="D5:D7"/>
    <mergeCell ref="A5:A7"/>
    <mergeCell ref="B5:B7"/>
    <mergeCell ref="C5:C7"/>
  </mergeCells>
  <printOptions horizontalCentered="1"/>
  <pageMargins left="1.35" right="0.5511811023622047" top="1.39" bottom="0.3937007874015748" header="0.5118110236220472" footer="0.5118110236220472"/>
  <pageSetup horizontalDpi="300" verticalDpi="300" orientation="portrait" paperSize="9" scale="90" r:id="rId1"/>
  <headerFooter alignWithMargins="0">
    <oddHeader>&amp;RTabela nr 2
do Uchwały Nr LIII/415/2010
Rady Miejskiej w Łowiczu
z dnia 21 stycznia 2010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14"/>
  <sheetViews>
    <sheetView workbookViewId="0" topLeftCell="A60">
      <selection activeCell="G74" sqref="G74"/>
    </sheetView>
  </sheetViews>
  <sheetFormatPr defaultColWidth="9.00390625" defaultRowHeight="12.75"/>
  <cols>
    <col min="1" max="1" width="3.75390625" style="223" customWidth="1"/>
    <col min="2" max="2" width="5.125" style="0" customWidth="1"/>
    <col min="3" max="3" width="10.75390625" style="223" customWidth="1"/>
    <col min="4" max="4" width="10.75390625" style="0" customWidth="1"/>
    <col min="5" max="6" width="10.875" style="0" bestFit="1" customWidth="1"/>
    <col min="7" max="7" width="8.375" style="0" customWidth="1"/>
    <col min="8" max="8" width="9.625" style="0" customWidth="1"/>
    <col min="9" max="9" width="7.625" style="0" customWidth="1"/>
    <col min="10" max="10" width="8.125" style="0" customWidth="1"/>
    <col min="11" max="11" width="7.375" style="0" customWidth="1"/>
    <col min="12" max="12" width="5.75390625" style="0" customWidth="1"/>
    <col min="13" max="13" width="7.00390625" style="0" customWidth="1"/>
    <col min="14" max="14" width="9.25390625" style="0" customWidth="1"/>
    <col min="15" max="15" width="8.00390625" style="238" customWidth="1"/>
    <col min="16" max="16" width="7.625" style="238" customWidth="1"/>
    <col min="17" max="17" width="5.875" style="238" customWidth="1"/>
    <col min="18" max="18" width="4.875" style="0" customWidth="1"/>
    <col min="19" max="19" width="5.375" style="22" customWidth="1"/>
  </cols>
  <sheetData>
    <row r="1" spans="16:17" ht="12.75">
      <c r="P1" s="239" t="s">
        <v>227</v>
      </c>
      <c r="Q1" s="239"/>
    </row>
    <row r="2" spans="1:19" ht="15.75">
      <c r="A2" s="532" t="s">
        <v>221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</row>
    <row r="3" spans="1:19" ht="15.75">
      <c r="A3" s="67"/>
      <c r="B3" s="67"/>
      <c r="C3" s="67"/>
      <c r="D3" s="67"/>
      <c r="E3" s="67" t="s">
        <v>227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5" spans="1:24" ht="12.75">
      <c r="A5" s="500" t="s">
        <v>2</v>
      </c>
      <c r="B5" s="501" t="s">
        <v>3</v>
      </c>
      <c r="C5" s="500" t="s">
        <v>122</v>
      </c>
      <c r="D5" s="500" t="s">
        <v>123</v>
      </c>
      <c r="E5" s="533" t="s">
        <v>124</v>
      </c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12"/>
      <c r="U5" s="12"/>
      <c r="V5" s="12"/>
      <c r="W5" s="12"/>
      <c r="X5" s="12"/>
    </row>
    <row r="6" spans="1:24" ht="12.75" customHeight="1">
      <c r="A6" s="500"/>
      <c r="B6" s="501"/>
      <c r="C6" s="500"/>
      <c r="D6" s="500"/>
      <c r="E6" s="500" t="s">
        <v>125</v>
      </c>
      <c r="F6" s="502" t="s">
        <v>41</v>
      </c>
      <c r="G6" s="502"/>
      <c r="H6" s="502"/>
      <c r="I6" s="502"/>
      <c r="J6" s="502"/>
      <c r="K6" s="502"/>
      <c r="L6" s="502"/>
      <c r="M6" s="502"/>
      <c r="N6" s="501" t="s">
        <v>126</v>
      </c>
      <c r="O6" s="502" t="s">
        <v>41</v>
      </c>
      <c r="P6" s="502"/>
      <c r="Q6" s="502"/>
      <c r="R6" s="502"/>
      <c r="S6" s="502"/>
      <c r="T6" s="12"/>
      <c r="U6" s="12"/>
      <c r="V6" s="12"/>
      <c r="W6" s="12"/>
      <c r="X6" s="12"/>
    </row>
    <row r="7" spans="1:24" ht="12.75" customHeight="1">
      <c r="A7" s="500"/>
      <c r="B7" s="501"/>
      <c r="C7" s="500"/>
      <c r="D7" s="500"/>
      <c r="E7" s="500"/>
      <c r="F7" s="503" t="s">
        <v>127</v>
      </c>
      <c r="G7" s="496" t="s">
        <v>41</v>
      </c>
      <c r="H7" s="497"/>
      <c r="I7" s="503" t="s">
        <v>128</v>
      </c>
      <c r="J7" s="503" t="s">
        <v>129</v>
      </c>
      <c r="K7" s="503" t="s">
        <v>130</v>
      </c>
      <c r="L7" s="503" t="s">
        <v>441</v>
      </c>
      <c r="M7" s="503" t="s">
        <v>131</v>
      </c>
      <c r="N7" s="501"/>
      <c r="O7" s="503" t="s">
        <v>399</v>
      </c>
      <c r="P7" s="531" t="s">
        <v>562</v>
      </c>
      <c r="Q7" s="497"/>
      <c r="R7" s="501" t="s">
        <v>132</v>
      </c>
      <c r="S7" s="501"/>
      <c r="T7" s="12"/>
      <c r="U7" s="12"/>
      <c r="V7" s="12"/>
      <c r="W7" s="12"/>
      <c r="X7" s="12"/>
    </row>
    <row r="8" spans="1:24" ht="0.75" customHeight="1">
      <c r="A8" s="500"/>
      <c r="B8" s="501"/>
      <c r="C8" s="500"/>
      <c r="D8" s="500"/>
      <c r="E8" s="500"/>
      <c r="F8" s="504"/>
      <c r="G8" s="498"/>
      <c r="H8" s="527"/>
      <c r="I8" s="504"/>
      <c r="J8" s="504"/>
      <c r="K8" s="504"/>
      <c r="L8" s="504"/>
      <c r="M8" s="504"/>
      <c r="N8" s="501"/>
      <c r="O8" s="504"/>
      <c r="P8" s="452"/>
      <c r="Q8" s="221"/>
      <c r="R8" s="221" t="s">
        <v>227</v>
      </c>
      <c r="S8" s="221"/>
      <c r="T8" s="12"/>
      <c r="U8" s="12"/>
      <c r="V8" s="12"/>
      <c r="W8" s="12"/>
      <c r="X8" s="12"/>
    </row>
    <row r="9" spans="1:24" ht="72" customHeight="1">
      <c r="A9" s="500"/>
      <c r="B9" s="501"/>
      <c r="C9" s="500"/>
      <c r="D9" s="500"/>
      <c r="E9" s="500"/>
      <c r="F9" s="504"/>
      <c r="G9" s="501" t="s">
        <v>133</v>
      </c>
      <c r="H9" s="501" t="s">
        <v>134</v>
      </c>
      <c r="I9" s="504"/>
      <c r="J9" s="504"/>
      <c r="K9" s="504"/>
      <c r="L9" s="504"/>
      <c r="M9" s="504"/>
      <c r="N9" s="501"/>
      <c r="O9" s="504"/>
      <c r="P9" s="503" t="s">
        <v>561</v>
      </c>
      <c r="Q9" s="222" t="s">
        <v>442</v>
      </c>
      <c r="R9" s="528" t="s">
        <v>135</v>
      </c>
      <c r="S9" s="529" t="s">
        <v>136</v>
      </c>
      <c r="T9" s="12"/>
      <c r="U9" s="12"/>
      <c r="V9" s="12"/>
      <c r="W9" s="12"/>
      <c r="X9" s="12"/>
    </row>
    <row r="10" spans="1:19" ht="7.5" customHeight="1">
      <c r="A10" s="500"/>
      <c r="B10" s="501"/>
      <c r="C10" s="500"/>
      <c r="D10" s="500"/>
      <c r="E10" s="500"/>
      <c r="F10" s="505"/>
      <c r="G10" s="501"/>
      <c r="H10" s="501"/>
      <c r="I10" s="505"/>
      <c r="J10" s="505"/>
      <c r="K10" s="505"/>
      <c r="L10" s="505"/>
      <c r="M10" s="505"/>
      <c r="N10" s="501"/>
      <c r="O10" s="505"/>
      <c r="P10" s="530"/>
      <c r="Q10" s="220"/>
      <c r="R10" s="529"/>
      <c r="S10" s="501"/>
    </row>
    <row r="11" spans="1:19" ht="9.7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240">
        <v>15</v>
      </c>
      <c r="P11" s="240">
        <v>16</v>
      </c>
      <c r="Q11" s="240">
        <v>17</v>
      </c>
      <c r="R11" s="11">
        <v>18</v>
      </c>
      <c r="S11" s="13">
        <v>19</v>
      </c>
    </row>
    <row r="12" spans="1:19" ht="23.25" customHeight="1">
      <c r="A12" s="211" t="s">
        <v>55</v>
      </c>
      <c r="B12" s="211"/>
      <c r="C12" s="227" t="s">
        <v>56</v>
      </c>
      <c r="D12" s="207">
        <f>SUM(E12,N12)</f>
        <v>892.39</v>
      </c>
      <c r="E12" s="207">
        <f>SUM(F12,I12,J12,K12,L12,M12)</f>
        <v>892.39</v>
      </c>
      <c r="F12" s="207">
        <f>SUM(G12,H12)</f>
        <v>892.39</v>
      </c>
      <c r="G12" s="207">
        <f>SUM(G13)</f>
        <v>0</v>
      </c>
      <c r="H12" s="207">
        <f>SUM(H13)</f>
        <v>892.39</v>
      </c>
      <c r="I12" s="203">
        <f aca="true" t="shared" si="0" ref="I12:R12">SUM(I13)</f>
        <v>0</v>
      </c>
      <c r="J12" s="203">
        <f t="shared" si="0"/>
        <v>0</v>
      </c>
      <c r="K12" s="203">
        <f t="shared" si="0"/>
        <v>0</v>
      </c>
      <c r="L12" s="203">
        <f t="shared" si="0"/>
        <v>0</v>
      </c>
      <c r="M12" s="204">
        <f t="shared" si="0"/>
        <v>0</v>
      </c>
      <c r="N12" s="203">
        <f aca="true" t="shared" si="1" ref="N12:N17">SUM(O12,R12)</f>
        <v>0</v>
      </c>
      <c r="O12" s="241">
        <f t="shared" si="0"/>
        <v>0</v>
      </c>
      <c r="P12" s="241"/>
      <c r="Q12" s="241"/>
      <c r="R12" s="203">
        <f t="shared" si="0"/>
        <v>0</v>
      </c>
      <c r="S12" s="15"/>
    </row>
    <row r="13" spans="1:19" ht="12.75">
      <c r="A13" s="212"/>
      <c r="B13" s="212" t="s">
        <v>137</v>
      </c>
      <c r="C13" s="228" t="s">
        <v>138</v>
      </c>
      <c r="D13" s="210">
        <v>892.39</v>
      </c>
      <c r="E13" s="207">
        <f>SUM(F13,I13,J13,K13,L13,M13)</f>
        <v>892.39</v>
      </c>
      <c r="F13" s="210">
        <f>SUM(G13,H13)</f>
        <v>892.39</v>
      </c>
      <c r="G13" s="210"/>
      <c r="H13" s="210">
        <v>892.39</v>
      </c>
      <c r="I13" s="202"/>
      <c r="J13" s="202"/>
      <c r="K13" s="202"/>
      <c r="L13" s="202"/>
      <c r="M13" s="202"/>
      <c r="N13" s="203">
        <f t="shared" si="1"/>
        <v>0</v>
      </c>
      <c r="O13" s="242"/>
      <c r="P13" s="242"/>
      <c r="Q13" s="242"/>
      <c r="R13" s="202"/>
      <c r="S13" s="15"/>
    </row>
    <row r="14" spans="1:20" ht="45">
      <c r="A14" s="213">
        <v>400</v>
      </c>
      <c r="B14" s="213"/>
      <c r="C14" s="227" t="s">
        <v>139</v>
      </c>
      <c r="D14" s="203">
        <f>SUM(E14,N14)</f>
        <v>8432134</v>
      </c>
      <c r="E14" s="203">
        <f>SUM(F14,I14,J14,K14,L14,M14)</f>
        <v>0</v>
      </c>
      <c r="F14" s="203">
        <f>SUM(G14,H14)</f>
        <v>0</v>
      </c>
      <c r="G14" s="203">
        <f aca="true" t="shared" si="2" ref="G14:M14">SUM(G15)</f>
        <v>0</v>
      </c>
      <c r="H14" s="203">
        <f t="shared" si="2"/>
        <v>0</v>
      </c>
      <c r="I14" s="203">
        <f t="shared" si="2"/>
        <v>0</v>
      </c>
      <c r="J14" s="203">
        <f t="shared" si="2"/>
        <v>0</v>
      </c>
      <c r="K14" s="203">
        <f t="shared" si="2"/>
        <v>0</v>
      </c>
      <c r="L14" s="203">
        <f t="shared" si="2"/>
        <v>0</v>
      </c>
      <c r="M14" s="203">
        <f t="shared" si="2"/>
        <v>0</v>
      </c>
      <c r="N14" s="203">
        <f t="shared" si="1"/>
        <v>8432134</v>
      </c>
      <c r="O14" s="241">
        <f>SUM(O15)</f>
        <v>8432134</v>
      </c>
      <c r="P14" s="241">
        <f>SUM(P15)</f>
        <v>8432134</v>
      </c>
      <c r="Q14" s="241"/>
      <c r="R14" s="203">
        <f>SUM(R15)</f>
        <v>0</v>
      </c>
      <c r="S14" s="15"/>
      <c r="T14" t="s">
        <v>227</v>
      </c>
    </row>
    <row r="15" spans="1:19" ht="19.5">
      <c r="A15" s="214"/>
      <c r="B15" s="214">
        <v>40002</v>
      </c>
      <c r="C15" s="229" t="s">
        <v>62</v>
      </c>
      <c r="D15" s="202">
        <f>SUM(E15,N15)</f>
        <v>8432134</v>
      </c>
      <c r="E15" s="204" t="s">
        <v>227</v>
      </c>
      <c r="F15" s="202" t="s">
        <v>227</v>
      </c>
      <c r="G15" s="204" t="s">
        <v>227</v>
      </c>
      <c r="H15" s="204" t="s">
        <v>227</v>
      </c>
      <c r="I15" s="204"/>
      <c r="J15" s="204"/>
      <c r="K15" s="204"/>
      <c r="L15" s="204"/>
      <c r="M15" s="204"/>
      <c r="N15" s="204">
        <f t="shared" si="1"/>
        <v>8432134</v>
      </c>
      <c r="O15" s="242">
        <v>8432134</v>
      </c>
      <c r="P15" s="242">
        <v>8432134</v>
      </c>
      <c r="Q15" s="242"/>
      <c r="R15" s="202"/>
      <c r="S15" s="15"/>
    </row>
    <row r="16" spans="1:19" ht="12.75">
      <c r="A16" s="224">
        <v>500</v>
      </c>
      <c r="B16" s="215"/>
      <c r="C16" s="230" t="s">
        <v>381</v>
      </c>
      <c r="D16" s="203">
        <f>SUM(E16,N16)</f>
        <v>323800</v>
      </c>
      <c r="E16" s="203">
        <f>SUM(F16,I16,J16,K16,L16,M16)</f>
        <v>323800</v>
      </c>
      <c r="F16" s="203">
        <f aca="true" t="shared" si="3" ref="F16:F22">SUM(G16,H16)</f>
        <v>323800</v>
      </c>
      <c r="G16" s="203">
        <f>SUM(G17)</f>
        <v>0</v>
      </c>
      <c r="H16" s="203">
        <f>SUM(H17)</f>
        <v>323800</v>
      </c>
      <c r="I16" s="203">
        <f aca="true" t="shared" si="4" ref="I16:R16">SUM(I17)</f>
        <v>0</v>
      </c>
      <c r="J16" s="203">
        <f t="shared" si="4"/>
        <v>0</v>
      </c>
      <c r="K16" s="203">
        <f t="shared" si="4"/>
        <v>0</v>
      </c>
      <c r="L16" s="203">
        <f t="shared" si="4"/>
        <v>0</v>
      </c>
      <c r="M16" s="203">
        <f t="shared" si="4"/>
        <v>0</v>
      </c>
      <c r="N16" s="203">
        <f t="shared" si="1"/>
        <v>0</v>
      </c>
      <c r="O16" s="241">
        <f t="shared" si="4"/>
        <v>0</v>
      </c>
      <c r="P16" s="241"/>
      <c r="Q16" s="241"/>
      <c r="R16" s="203">
        <f t="shared" si="4"/>
        <v>0</v>
      </c>
      <c r="S16" s="15"/>
    </row>
    <row r="17" spans="1:19" ht="23.25" customHeight="1">
      <c r="A17" s="215"/>
      <c r="B17" s="215">
        <v>50095</v>
      </c>
      <c r="C17" s="231" t="s">
        <v>57</v>
      </c>
      <c r="D17" s="202">
        <v>323800</v>
      </c>
      <c r="E17" s="202">
        <v>323800</v>
      </c>
      <c r="F17" s="202">
        <f t="shared" si="3"/>
        <v>323800</v>
      </c>
      <c r="G17" s="202"/>
      <c r="H17" s="202">
        <v>323800</v>
      </c>
      <c r="I17" s="202"/>
      <c r="J17" s="202"/>
      <c r="K17" s="202"/>
      <c r="L17" s="202"/>
      <c r="M17" s="202"/>
      <c r="N17" s="203">
        <f t="shared" si="1"/>
        <v>0</v>
      </c>
      <c r="O17" s="242"/>
      <c r="P17" s="242"/>
      <c r="Q17" s="242"/>
      <c r="R17" s="202"/>
      <c r="S17" s="15"/>
    </row>
    <row r="18" spans="1:19" s="17" customFormat="1" ht="21" customHeight="1">
      <c r="A18" s="216">
        <v>600</v>
      </c>
      <c r="B18" s="216" t="s">
        <v>227</v>
      </c>
      <c r="C18" s="232" t="s">
        <v>140</v>
      </c>
      <c r="D18" s="207">
        <f aca="true" t="shared" si="5" ref="D18:D23">SUM(E18,N18)</f>
        <v>12979580.61</v>
      </c>
      <c r="E18" s="203">
        <f aca="true" t="shared" si="6" ref="E18:E25">SUM(F18,I18,J18,K18,L18,M18)</f>
        <v>1922530</v>
      </c>
      <c r="F18" s="203">
        <f t="shared" si="3"/>
        <v>1915530</v>
      </c>
      <c r="G18" s="203">
        <f>SUM(G19:G20)</f>
        <v>987300</v>
      </c>
      <c r="H18" s="203">
        <f>SUM(H19,H20:H22)</f>
        <v>928230</v>
      </c>
      <c r="I18" s="203">
        <f>SUM(I19)</f>
        <v>0</v>
      </c>
      <c r="J18" s="203">
        <f>SUM(J19)</f>
        <v>7000</v>
      </c>
      <c r="K18" s="203">
        <f>SUM(K19)</f>
        <v>0</v>
      </c>
      <c r="L18" s="203">
        <f>SUM(L19)</f>
        <v>0</v>
      </c>
      <c r="M18" s="203">
        <f>SUM(M19)</f>
        <v>0</v>
      </c>
      <c r="N18" s="364">
        <f>SUM(N19:N22)</f>
        <v>11057050.61</v>
      </c>
      <c r="O18" s="243">
        <f>SUM(O19:O22)</f>
        <v>11057050.61</v>
      </c>
      <c r="P18" s="243">
        <f>SUM(P19:P22)</f>
        <v>7927800.61</v>
      </c>
      <c r="Q18" s="241">
        <f>SUM(Q19:Q22)</f>
        <v>700000</v>
      </c>
      <c r="R18" s="203">
        <f>SUM(R19)</f>
        <v>0</v>
      </c>
      <c r="S18" s="15"/>
    </row>
    <row r="19" spans="1:19" s="17" customFormat="1" ht="29.25">
      <c r="A19" s="217"/>
      <c r="B19" s="217">
        <v>60004</v>
      </c>
      <c r="C19" s="228" t="s">
        <v>383</v>
      </c>
      <c r="D19" s="202">
        <f t="shared" si="5"/>
        <v>2439550</v>
      </c>
      <c r="E19" s="202">
        <f t="shared" si="6"/>
        <v>1753300</v>
      </c>
      <c r="F19" s="202">
        <f t="shared" si="3"/>
        <v>1746300</v>
      </c>
      <c r="G19" s="202">
        <v>987300</v>
      </c>
      <c r="H19" s="202">
        <v>759000</v>
      </c>
      <c r="I19" s="202"/>
      <c r="J19" s="202">
        <v>7000</v>
      </c>
      <c r="K19" s="202"/>
      <c r="L19" s="202"/>
      <c r="M19" s="202"/>
      <c r="N19" s="210">
        <v>686250</v>
      </c>
      <c r="O19" s="244">
        <v>686250</v>
      </c>
      <c r="P19" s="242"/>
      <c r="Q19" s="242"/>
      <c r="R19" s="202"/>
      <c r="S19" s="15"/>
    </row>
    <row r="20" spans="1:19" s="17" customFormat="1" ht="19.5">
      <c r="A20" s="217"/>
      <c r="B20" s="217">
        <v>60014</v>
      </c>
      <c r="C20" s="228" t="s">
        <v>382</v>
      </c>
      <c r="D20" s="202">
        <f t="shared" si="5"/>
        <v>700000</v>
      </c>
      <c r="E20" s="202">
        <f t="shared" si="6"/>
        <v>0</v>
      </c>
      <c r="F20" s="202">
        <f t="shared" si="3"/>
        <v>0</v>
      </c>
      <c r="G20" s="202"/>
      <c r="H20" s="202"/>
      <c r="I20" s="202"/>
      <c r="J20" s="202"/>
      <c r="K20" s="202" t="s">
        <v>227</v>
      </c>
      <c r="L20" s="202"/>
      <c r="M20" s="202"/>
      <c r="N20" s="210">
        <f>SUM(O20,R20)</f>
        <v>700000</v>
      </c>
      <c r="O20" s="244">
        <f>300000+400000</f>
        <v>700000</v>
      </c>
      <c r="P20" s="242"/>
      <c r="Q20" s="242">
        <f>300000+400000</f>
        <v>700000</v>
      </c>
      <c r="R20" s="202"/>
      <c r="S20" s="15"/>
    </row>
    <row r="21" spans="1:19" s="17" customFormat="1" ht="19.5">
      <c r="A21" s="217"/>
      <c r="B21" s="217">
        <v>60016</v>
      </c>
      <c r="C21" s="228" t="s">
        <v>141</v>
      </c>
      <c r="D21" s="210">
        <f t="shared" si="5"/>
        <v>9690030.61</v>
      </c>
      <c r="E21" s="202">
        <f>SUM(F21,I21,J21,K21,L21,M21)</f>
        <v>169230</v>
      </c>
      <c r="F21" s="202">
        <f>SUM(G21,H21)</f>
        <v>169230</v>
      </c>
      <c r="G21" s="202"/>
      <c r="H21" s="202">
        <v>169230</v>
      </c>
      <c r="I21" s="202"/>
      <c r="J21" s="202"/>
      <c r="K21" s="202"/>
      <c r="L21" s="202"/>
      <c r="M21" s="202"/>
      <c r="N21" s="471">
        <f>SUM(O21,R21)</f>
        <v>9520800.61</v>
      </c>
      <c r="O21" s="244">
        <f>9273840.61+3498960+150000+38000-3440000</f>
        <v>9520800.61</v>
      </c>
      <c r="P21" s="244">
        <f>4428840.61+3498960</f>
        <v>7927800.61</v>
      </c>
      <c r="Q21" s="242"/>
      <c r="R21" s="202"/>
      <c r="S21" s="15"/>
    </row>
    <row r="22" spans="1:19" s="17" customFormat="1" ht="19.5">
      <c r="A22" s="217"/>
      <c r="B22" s="217">
        <v>60017</v>
      </c>
      <c r="C22" s="228" t="s">
        <v>544</v>
      </c>
      <c r="D22" s="210">
        <f t="shared" si="5"/>
        <v>150000</v>
      </c>
      <c r="E22" s="202">
        <f t="shared" si="6"/>
        <v>0</v>
      </c>
      <c r="F22" s="202">
        <f t="shared" si="3"/>
        <v>0</v>
      </c>
      <c r="G22" s="202"/>
      <c r="H22" s="202"/>
      <c r="I22" s="202"/>
      <c r="J22" s="202"/>
      <c r="K22" s="202"/>
      <c r="L22" s="202"/>
      <c r="M22" s="202"/>
      <c r="N22" s="471">
        <f>SUM(O22,R22)</f>
        <v>150000</v>
      </c>
      <c r="O22" s="244">
        <v>150000</v>
      </c>
      <c r="P22" s="244" t="s">
        <v>227</v>
      </c>
      <c r="Q22" s="242"/>
      <c r="R22" s="202"/>
      <c r="S22" s="15"/>
    </row>
    <row r="23" spans="1:19" ht="22.5" customHeight="1">
      <c r="A23" s="213">
        <v>700</v>
      </c>
      <c r="B23" s="213"/>
      <c r="C23" s="227" t="s">
        <v>65</v>
      </c>
      <c r="D23" s="203">
        <f t="shared" si="5"/>
        <v>8702150</v>
      </c>
      <c r="E23" s="203">
        <f t="shared" si="6"/>
        <v>4682150</v>
      </c>
      <c r="F23" s="203">
        <f>SUM(F24:F26)</f>
        <v>4676350</v>
      </c>
      <c r="G23" s="203">
        <f>SUM(G24:G26)</f>
        <v>1044630</v>
      </c>
      <c r="H23" s="203">
        <f>SUM(H24,H26)</f>
        <v>3631720</v>
      </c>
      <c r="I23" s="203">
        <f>SUM(I24)</f>
        <v>0</v>
      </c>
      <c r="J23" s="203">
        <f>SUM(J24)</f>
        <v>5800</v>
      </c>
      <c r="K23" s="203">
        <f>SUM(K24)</f>
        <v>0</v>
      </c>
      <c r="L23" s="203">
        <f>SUM(L24)</f>
        <v>0</v>
      </c>
      <c r="M23" s="203">
        <f>SUM(M24)</f>
        <v>0</v>
      </c>
      <c r="N23" s="203">
        <f>SUM(N24:N26)</f>
        <v>4020000</v>
      </c>
      <c r="O23" s="241">
        <f>SUM(O24:O26)</f>
        <v>4020000</v>
      </c>
      <c r="P23" s="241"/>
      <c r="Q23" s="241"/>
      <c r="R23" s="203">
        <f>SUM(R24)</f>
        <v>0</v>
      </c>
      <c r="S23" s="15"/>
    </row>
    <row r="24" spans="1:19" s="17" customFormat="1" ht="29.25">
      <c r="A24" s="217"/>
      <c r="B24" s="217">
        <v>70001</v>
      </c>
      <c r="C24" s="228" t="s">
        <v>384</v>
      </c>
      <c r="D24" s="202">
        <v>4701650</v>
      </c>
      <c r="E24" s="202">
        <f t="shared" si="6"/>
        <v>4681650</v>
      </c>
      <c r="F24" s="202">
        <f>SUM(G24:H24)</f>
        <v>4675850</v>
      </c>
      <c r="G24" s="202">
        <v>1044630</v>
      </c>
      <c r="H24" s="202">
        <v>3631220</v>
      </c>
      <c r="I24" s="202"/>
      <c r="J24" s="202">
        <v>5800</v>
      </c>
      <c r="K24" s="202"/>
      <c r="L24" s="202"/>
      <c r="M24" s="202"/>
      <c r="N24" s="202">
        <v>20000</v>
      </c>
      <c r="O24" s="242">
        <v>20000</v>
      </c>
      <c r="P24" s="242"/>
      <c r="Q24" s="242"/>
      <c r="R24" s="202"/>
      <c r="S24" s="15"/>
    </row>
    <row r="25" spans="1:19" s="17" customFormat="1" ht="39">
      <c r="A25" s="217"/>
      <c r="B25" s="217">
        <v>70005</v>
      </c>
      <c r="C25" s="228" t="s">
        <v>66</v>
      </c>
      <c r="D25" s="202">
        <f aca="true" t="shared" si="7" ref="D25:D58">SUM(E25,N25)</f>
        <v>4000000</v>
      </c>
      <c r="E25" s="202">
        <f t="shared" si="6"/>
        <v>0</v>
      </c>
      <c r="F25" s="202"/>
      <c r="G25" s="202"/>
      <c r="H25" s="202"/>
      <c r="I25" s="202"/>
      <c r="J25" s="202"/>
      <c r="K25" s="202"/>
      <c r="L25" s="202"/>
      <c r="M25" s="202"/>
      <c r="N25" s="202">
        <v>4000000</v>
      </c>
      <c r="O25" s="242">
        <v>4000000</v>
      </c>
      <c r="P25" s="242" t="s">
        <v>227</v>
      </c>
      <c r="Q25" s="242"/>
      <c r="R25" s="202"/>
      <c r="S25" s="15"/>
    </row>
    <row r="26" spans="1:19" s="17" customFormat="1" ht="19.5">
      <c r="A26" s="217"/>
      <c r="B26" s="217">
        <v>70095</v>
      </c>
      <c r="C26" s="228" t="s">
        <v>57</v>
      </c>
      <c r="D26" s="202">
        <f t="shared" si="7"/>
        <v>500</v>
      </c>
      <c r="E26" s="202">
        <f aca="true" t="shared" si="8" ref="E26:E58">SUM(F26,I26,J26,K26,L26,M26)</f>
        <v>500</v>
      </c>
      <c r="F26" s="202">
        <f>SUM(G26,H26)</f>
        <v>500</v>
      </c>
      <c r="G26" s="202"/>
      <c r="H26" s="202">
        <v>500</v>
      </c>
      <c r="I26" s="202"/>
      <c r="J26" s="202"/>
      <c r="K26" s="202"/>
      <c r="L26" s="202"/>
      <c r="M26" s="202"/>
      <c r="N26" s="202">
        <f>SUM(O26,R26)</f>
        <v>0</v>
      </c>
      <c r="O26" s="242" t="s">
        <v>227</v>
      </c>
      <c r="P26" s="242"/>
      <c r="Q26" s="242"/>
      <c r="R26" s="202"/>
      <c r="S26" s="15"/>
    </row>
    <row r="27" spans="1:19" ht="18">
      <c r="A27" s="213">
        <v>710</v>
      </c>
      <c r="B27" s="213"/>
      <c r="C27" s="227" t="s">
        <v>142</v>
      </c>
      <c r="D27" s="203">
        <f t="shared" si="7"/>
        <v>261200</v>
      </c>
      <c r="E27" s="203">
        <f t="shared" si="8"/>
        <v>261200</v>
      </c>
      <c r="F27" s="203">
        <f>SUM(G27,H27)</f>
        <v>261200</v>
      </c>
      <c r="G27" s="203">
        <f>SUM(G28:G30)</f>
        <v>25000</v>
      </c>
      <c r="H27" s="203">
        <f>SUM(H28:H30)</f>
        <v>236200</v>
      </c>
      <c r="I27" s="203">
        <f>SUM(I28)</f>
        <v>0</v>
      </c>
      <c r="J27" s="203">
        <f>SUM(J28)</f>
        <v>0</v>
      </c>
      <c r="K27" s="203">
        <f>SUM(K28)</f>
        <v>0</v>
      </c>
      <c r="L27" s="203">
        <f>SUM(L28)</f>
        <v>0</v>
      </c>
      <c r="M27" s="203">
        <f>SUM(M28)</f>
        <v>0</v>
      </c>
      <c r="N27" s="203">
        <f>SUM(O27,R27)</f>
        <v>0</v>
      </c>
      <c r="O27" s="241">
        <f>SUM(O28)</f>
        <v>0</v>
      </c>
      <c r="P27" s="241"/>
      <c r="Q27" s="241"/>
      <c r="R27" s="203">
        <f>SUM(R28)</f>
        <v>0</v>
      </c>
      <c r="S27" s="15"/>
    </row>
    <row r="28" spans="1:19" s="17" customFormat="1" ht="29.25">
      <c r="A28" s="217"/>
      <c r="B28" s="217">
        <v>71014</v>
      </c>
      <c r="C28" s="233" t="s">
        <v>385</v>
      </c>
      <c r="D28" s="202">
        <f t="shared" si="7"/>
        <v>210000</v>
      </c>
      <c r="E28" s="202">
        <f t="shared" si="8"/>
        <v>210000</v>
      </c>
      <c r="F28" s="202">
        <f>SUM(G28,H28)</f>
        <v>210000</v>
      </c>
      <c r="G28" s="202">
        <v>20000</v>
      </c>
      <c r="H28" s="202">
        <v>190000</v>
      </c>
      <c r="I28" s="202"/>
      <c r="J28" s="202"/>
      <c r="K28" s="202"/>
      <c r="L28" s="202"/>
      <c r="M28" s="202"/>
      <c r="N28" s="202">
        <f>SUM(O28,R28)</f>
        <v>0</v>
      </c>
      <c r="O28" s="242"/>
      <c r="P28" s="242"/>
      <c r="Q28" s="242"/>
      <c r="R28" s="202"/>
      <c r="S28" s="15"/>
    </row>
    <row r="29" spans="1:19" s="17" customFormat="1" ht="12.75">
      <c r="A29" s="217"/>
      <c r="B29" s="217">
        <v>71035</v>
      </c>
      <c r="C29" s="228" t="s">
        <v>143</v>
      </c>
      <c r="D29" s="202">
        <f t="shared" si="7"/>
        <v>46200</v>
      </c>
      <c r="E29" s="202">
        <f t="shared" si="8"/>
        <v>46200</v>
      </c>
      <c r="F29" s="202">
        <f>SUM(G29,H29)</f>
        <v>46200</v>
      </c>
      <c r="G29" s="202" t="s">
        <v>227</v>
      </c>
      <c r="H29" s="202">
        <v>46200</v>
      </c>
      <c r="I29" s="202"/>
      <c r="J29" s="202"/>
      <c r="K29" s="202"/>
      <c r="L29" s="202"/>
      <c r="M29" s="202"/>
      <c r="N29" s="202"/>
      <c r="O29" s="242"/>
      <c r="P29" s="242"/>
      <c r="Q29" s="242"/>
      <c r="R29" s="202"/>
      <c r="S29" s="15"/>
    </row>
    <row r="30" spans="1:19" s="17" customFormat="1" ht="19.5">
      <c r="A30" s="217"/>
      <c r="B30" s="217">
        <v>71095</v>
      </c>
      <c r="C30" s="228" t="s">
        <v>57</v>
      </c>
      <c r="D30" s="202">
        <f t="shared" si="7"/>
        <v>5000</v>
      </c>
      <c r="E30" s="202">
        <f t="shared" si="8"/>
        <v>5000</v>
      </c>
      <c r="F30" s="202">
        <f>SUM(G30,H30)</f>
        <v>5000</v>
      </c>
      <c r="G30" s="202">
        <v>5000</v>
      </c>
      <c r="H30" s="202" t="s">
        <v>227</v>
      </c>
      <c r="I30" s="202"/>
      <c r="J30" s="202"/>
      <c r="K30" s="202"/>
      <c r="L30" s="202"/>
      <c r="M30" s="202"/>
      <c r="N30" s="202">
        <f>SUM(O30,R30)</f>
        <v>0</v>
      </c>
      <c r="O30" s="242"/>
      <c r="P30" s="242"/>
      <c r="Q30" s="242"/>
      <c r="R30" s="202"/>
      <c r="S30" s="15"/>
    </row>
    <row r="31" spans="1:19" ht="21.75" customHeight="1">
      <c r="A31" s="213">
        <v>750</v>
      </c>
      <c r="B31" s="213"/>
      <c r="C31" s="227" t="s">
        <v>70</v>
      </c>
      <c r="D31" s="203">
        <f t="shared" si="7"/>
        <v>10752598</v>
      </c>
      <c r="E31" s="203">
        <f t="shared" si="8"/>
        <v>6633006</v>
      </c>
      <c r="F31" s="203">
        <f aca="true" t="shared" si="9" ref="F31:F49">SUM(G31,H31)</f>
        <v>6282206</v>
      </c>
      <c r="G31" s="203">
        <f>SUM(G32,G34,G35,G36,G37)</f>
        <v>4596810</v>
      </c>
      <c r="H31" s="203">
        <f>SUM(H32,H34,H35,H36,H37)</f>
        <v>1685396</v>
      </c>
      <c r="I31" s="203">
        <f>SUM(I32:I37)</f>
        <v>0</v>
      </c>
      <c r="J31" s="203">
        <f>SUM(J32:J37)</f>
        <v>350800</v>
      </c>
      <c r="K31" s="203">
        <f>SUM(K32)</f>
        <v>0</v>
      </c>
      <c r="L31" s="203">
        <f>SUM(L32)</f>
        <v>0</v>
      </c>
      <c r="M31" s="203">
        <f>SUM(M32)</f>
        <v>0</v>
      </c>
      <c r="N31" s="203">
        <f>SUM(N32:N37)</f>
        <v>4119592</v>
      </c>
      <c r="O31" s="241">
        <f>SUM(O32:O37)</f>
        <v>4119592</v>
      </c>
      <c r="P31" s="241">
        <f>SUM(P32:P37)</f>
        <v>3069592</v>
      </c>
      <c r="Q31" s="241"/>
      <c r="R31" s="203">
        <f>SUM(R32)</f>
        <v>0</v>
      </c>
      <c r="S31" s="15"/>
    </row>
    <row r="32" spans="1:19" s="17" customFormat="1" ht="19.5">
      <c r="A32" s="217"/>
      <c r="B32" s="217">
        <v>75011</v>
      </c>
      <c r="C32" s="228" t="s">
        <v>71</v>
      </c>
      <c r="D32" s="202">
        <f t="shared" si="7"/>
        <v>236876</v>
      </c>
      <c r="E32" s="202">
        <f t="shared" si="8"/>
        <v>236876</v>
      </c>
      <c r="F32" s="202">
        <f t="shared" si="9"/>
        <v>236876</v>
      </c>
      <c r="G32" s="202">
        <v>231103</v>
      </c>
      <c r="H32" s="202">
        <v>5773</v>
      </c>
      <c r="I32" s="202"/>
      <c r="J32" s="202"/>
      <c r="K32" s="202"/>
      <c r="L32" s="202"/>
      <c r="M32" s="202"/>
      <c r="N32" s="202">
        <f>SUM(O32,R32)</f>
        <v>0</v>
      </c>
      <c r="O32" s="242"/>
      <c r="P32" s="242"/>
      <c r="Q32" s="242"/>
      <c r="R32" s="202"/>
      <c r="S32" s="15"/>
    </row>
    <row r="33" spans="1:19" s="7" customFormat="1" ht="12.75">
      <c r="A33" s="218"/>
      <c r="B33" s="218"/>
      <c r="C33" s="234" t="s">
        <v>144</v>
      </c>
      <c r="D33" s="205">
        <f t="shared" si="7"/>
        <v>236876</v>
      </c>
      <c r="E33" s="205">
        <f t="shared" si="8"/>
        <v>236876</v>
      </c>
      <c r="F33" s="205">
        <f>SUM(G33,H33)</f>
        <v>236876</v>
      </c>
      <c r="G33" s="205">
        <v>231103</v>
      </c>
      <c r="H33" s="205">
        <v>5773</v>
      </c>
      <c r="I33" s="205"/>
      <c r="J33" s="205"/>
      <c r="K33" s="205"/>
      <c r="L33" s="205"/>
      <c r="M33" s="205"/>
      <c r="N33" s="205"/>
      <c r="O33" s="245"/>
      <c r="P33" s="245"/>
      <c r="Q33" s="245"/>
      <c r="R33" s="205"/>
      <c r="S33" s="18"/>
    </row>
    <row r="34" spans="1:19" s="17" customFormat="1" ht="12.75">
      <c r="A34" s="217"/>
      <c r="B34" s="217">
        <v>75022</v>
      </c>
      <c r="C34" s="228" t="s">
        <v>145</v>
      </c>
      <c r="D34" s="202">
        <f t="shared" si="7"/>
        <v>377600</v>
      </c>
      <c r="E34" s="202">
        <f t="shared" si="8"/>
        <v>377600</v>
      </c>
      <c r="F34" s="202">
        <f>SUM(G34,H34)</f>
        <v>31800</v>
      </c>
      <c r="G34" s="202"/>
      <c r="H34" s="202">
        <v>31800</v>
      </c>
      <c r="I34" s="202"/>
      <c r="J34" s="202">
        <v>345800</v>
      </c>
      <c r="K34" s="202"/>
      <c r="L34" s="202"/>
      <c r="M34" s="202"/>
      <c r="N34" s="202">
        <f aca="true" t="shared" si="10" ref="N34:N39">SUM(O34,R34)</f>
        <v>0</v>
      </c>
      <c r="O34" s="242"/>
      <c r="P34" s="242"/>
      <c r="Q34" s="242"/>
      <c r="R34" s="202"/>
      <c r="S34" s="15"/>
    </row>
    <row r="35" spans="1:19" s="17" customFormat="1" ht="12.75">
      <c r="A35" s="217"/>
      <c r="B35" s="217">
        <v>75023</v>
      </c>
      <c r="C35" s="228" t="s">
        <v>146</v>
      </c>
      <c r="D35" s="202">
        <f>SUM(E35,N35)</f>
        <v>6541930</v>
      </c>
      <c r="E35" s="202">
        <f>SUM(F35,I35,J35,K35,L35,M35)</f>
        <v>5491930</v>
      </c>
      <c r="F35" s="202">
        <f>SUM(G35,H35)</f>
        <v>5486930</v>
      </c>
      <c r="G35" s="202">
        <v>4335707</v>
      </c>
      <c r="H35" s="202">
        <v>1151223</v>
      </c>
      <c r="I35" s="202"/>
      <c r="J35" s="202">
        <v>5000</v>
      </c>
      <c r="K35" s="202"/>
      <c r="L35" s="202"/>
      <c r="M35" s="202"/>
      <c r="N35" s="202">
        <f t="shared" si="10"/>
        <v>1050000</v>
      </c>
      <c r="O35" s="242">
        <v>1050000</v>
      </c>
      <c r="P35" s="242"/>
      <c r="Q35" s="242"/>
      <c r="R35" s="202"/>
      <c r="S35" s="15"/>
    </row>
    <row r="36" spans="1:19" s="17" customFormat="1" ht="39" customHeight="1">
      <c r="A36" s="217"/>
      <c r="B36" s="217">
        <v>75075</v>
      </c>
      <c r="C36" s="228" t="s">
        <v>147</v>
      </c>
      <c r="D36" s="202">
        <f t="shared" si="7"/>
        <v>526600</v>
      </c>
      <c r="E36" s="202">
        <f t="shared" si="8"/>
        <v>526600</v>
      </c>
      <c r="F36" s="202">
        <f t="shared" si="9"/>
        <v>526600</v>
      </c>
      <c r="G36" s="202">
        <v>30000</v>
      </c>
      <c r="H36" s="202">
        <v>496600</v>
      </c>
      <c r="I36" s="202"/>
      <c r="J36" s="202"/>
      <c r="K36" s="202"/>
      <c r="L36" s="202"/>
      <c r="M36" s="202"/>
      <c r="N36" s="202">
        <f t="shared" si="10"/>
        <v>0</v>
      </c>
      <c r="O36" s="242"/>
      <c r="P36" s="242"/>
      <c r="Q36" s="242"/>
      <c r="R36" s="202"/>
      <c r="S36" s="15"/>
    </row>
    <row r="37" spans="1:19" s="17" customFormat="1" ht="19.5">
      <c r="A37" s="217"/>
      <c r="B37" s="217">
        <v>75095</v>
      </c>
      <c r="C37" s="228" t="s">
        <v>57</v>
      </c>
      <c r="D37" s="202">
        <f t="shared" si="7"/>
        <v>3069592</v>
      </c>
      <c r="E37" s="202">
        <f t="shared" si="8"/>
        <v>0</v>
      </c>
      <c r="F37" s="202">
        <f t="shared" si="9"/>
        <v>0</v>
      </c>
      <c r="G37" s="202" t="s">
        <v>227</v>
      </c>
      <c r="H37" s="202" t="s">
        <v>227</v>
      </c>
      <c r="I37" s="202"/>
      <c r="J37" s="202" t="s">
        <v>227</v>
      </c>
      <c r="K37" s="202"/>
      <c r="L37" s="202"/>
      <c r="M37" s="202"/>
      <c r="N37" s="202">
        <f t="shared" si="10"/>
        <v>3069592</v>
      </c>
      <c r="O37" s="242">
        <v>3069592</v>
      </c>
      <c r="P37" s="242">
        <v>3069592</v>
      </c>
      <c r="Q37" s="242"/>
      <c r="R37" s="202"/>
      <c r="S37" s="15"/>
    </row>
    <row r="38" spans="1:19" ht="81">
      <c r="A38" s="213">
        <v>751</v>
      </c>
      <c r="B38" s="213"/>
      <c r="C38" s="227" t="s">
        <v>76</v>
      </c>
      <c r="D38" s="203">
        <f t="shared" si="7"/>
        <v>5200</v>
      </c>
      <c r="E38" s="203">
        <f t="shared" si="8"/>
        <v>5200</v>
      </c>
      <c r="F38" s="203">
        <f t="shared" si="9"/>
        <v>5200</v>
      </c>
      <c r="G38" s="203">
        <f aca="true" t="shared" si="11" ref="G38:M38">SUM(G39)</f>
        <v>0</v>
      </c>
      <c r="H38" s="203">
        <f t="shared" si="11"/>
        <v>5200</v>
      </c>
      <c r="I38" s="203">
        <f t="shared" si="11"/>
        <v>0</v>
      </c>
      <c r="J38" s="203">
        <f t="shared" si="11"/>
        <v>0</v>
      </c>
      <c r="K38" s="203">
        <f t="shared" si="11"/>
        <v>0</v>
      </c>
      <c r="L38" s="203">
        <f t="shared" si="11"/>
        <v>0</v>
      </c>
      <c r="M38" s="203">
        <f t="shared" si="11"/>
        <v>0</v>
      </c>
      <c r="N38" s="203">
        <f t="shared" si="10"/>
        <v>0</v>
      </c>
      <c r="O38" s="241">
        <f>SUM(O39)</f>
        <v>0</v>
      </c>
      <c r="P38" s="241"/>
      <c r="Q38" s="241"/>
      <c r="R38" s="203">
        <f>SUM(R39)</f>
        <v>0</v>
      </c>
      <c r="S38" s="15"/>
    </row>
    <row r="39" spans="1:19" ht="50.25" customHeight="1">
      <c r="A39" s="217"/>
      <c r="B39" s="217">
        <v>75101</v>
      </c>
      <c r="C39" s="228" t="s">
        <v>443</v>
      </c>
      <c r="D39" s="202">
        <f t="shared" si="7"/>
        <v>5200</v>
      </c>
      <c r="E39" s="202">
        <f t="shared" si="8"/>
        <v>5200</v>
      </c>
      <c r="F39" s="202">
        <f t="shared" si="9"/>
        <v>5200</v>
      </c>
      <c r="G39" s="202"/>
      <c r="H39" s="202">
        <v>5200</v>
      </c>
      <c r="I39" s="202"/>
      <c r="J39" s="202"/>
      <c r="K39" s="202"/>
      <c r="L39" s="202"/>
      <c r="M39" s="202"/>
      <c r="N39" s="203">
        <f t="shared" si="10"/>
        <v>0</v>
      </c>
      <c r="O39" s="242"/>
      <c r="P39" s="242"/>
      <c r="Q39" s="242"/>
      <c r="R39" s="202"/>
      <c r="S39" s="15"/>
    </row>
    <row r="40" spans="1:19" s="7" customFormat="1" ht="12.75">
      <c r="A40" s="218"/>
      <c r="B40" s="218"/>
      <c r="C40" s="234" t="s">
        <v>144</v>
      </c>
      <c r="D40" s="205">
        <f t="shared" si="7"/>
        <v>5200</v>
      </c>
      <c r="E40" s="205">
        <f>SUM(F40,I40,J40,K40,L40,M40)</f>
        <v>5200</v>
      </c>
      <c r="F40" s="205">
        <f t="shared" si="9"/>
        <v>5200</v>
      </c>
      <c r="G40" s="205"/>
      <c r="H40" s="205">
        <v>5200</v>
      </c>
      <c r="I40" s="205"/>
      <c r="J40" s="205"/>
      <c r="K40" s="205"/>
      <c r="L40" s="205"/>
      <c r="M40" s="205"/>
      <c r="N40" s="205"/>
      <c r="O40" s="245"/>
      <c r="P40" s="245"/>
      <c r="Q40" s="245"/>
      <c r="R40" s="205"/>
      <c r="S40" s="18"/>
    </row>
    <row r="41" spans="1:19" ht="45">
      <c r="A41" s="213">
        <v>754</v>
      </c>
      <c r="B41" s="213"/>
      <c r="C41" s="227" t="s">
        <v>77</v>
      </c>
      <c r="D41" s="203">
        <f>SUM(E41,N41)</f>
        <v>680502</v>
      </c>
      <c r="E41" s="203">
        <f>SUM(F41,I41,J41,K41,L41,M41)</f>
        <v>335602</v>
      </c>
      <c r="F41" s="203">
        <f>SUM(G41,H41)</f>
        <v>169602</v>
      </c>
      <c r="G41" s="203">
        <f>SUM(G42,G45,G48)</f>
        <v>0</v>
      </c>
      <c r="H41" s="203">
        <f>SUM(H42,H45,H47,H48)</f>
        <v>169602</v>
      </c>
      <c r="I41" s="203">
        <f>SUM(I42:I48)</f>
        <v>131000</v>
      </c>
      <c r="J41" s="203">
        <f aca="true" t="shared" si="12" ref="J41:R41">SUM(J42:J48)</f>
        <v>35000</v>
      </c>
      <c r="K41" s="203">
        <f t="shared" si="12"/>
        <v>0</v>
      </c>
      <c r="L41" s="203">
        <f t="shared" si="12"/>
        <v>0</v>
      </c>
      <c r="M41" s="203">
        <f t="shared" si="12"/>
        <v>0</v>
      </c>
      <c r="N41" s="203">
        <f>SUM(O41,R41)</f>
        <v>344900</v>
      </c>
      <c r="O41" s="241">
        <f>SUM(O42,O43,O47,O48)</f>
        <v>344900</v>
      </c>
      <c r="P41" s="241">
        <f t="shared" si="12"/>
        <v>0</v>
      </c>
      <c r="Q41" s="241">
        <f t="shared" si="12"/>
        <v>45000</v>
      </c>
      <c r="R41" s="203">
        <f t="shared" si="12"/>
        <v>0</v>
      </c>
      <c r="S41" s="15"/>
    </row>
    <row r="42" spans="1:19" ht="29.25">
      <c r="A42" s="217"/>
      <c r="B42" s="217">
        <v>75404</v>
      </c>
      <c r="C42" s="231" t="s">
        <v>386</v>
      </c>
      <c r="D42" s="202">
        <f t="shared" si="7"/>
        <v>45000</v>
      </c>
      <c r="E42" s="202">
        <f t="shared" si="8"/>
        <v>45000</v>
      </c>
      <c r="F42" s="202">
        <f t="shared" si="9"/>
        <v>0</v>
      </c>
      <c r="G42" s="202" t="s">
        <v>227</v>
      </c>
      <c r="H42" s="202" t="s">
        <v>227</v>
      </c>
      <c r="I42" s="202">
        <v>45000</v>
      </c>
      <c r="J42" s="202" t="s">
        <v>227</v>
      </c>
      <c r="K42" s="202"/>
      <c r="L42" s="202"/>
      <c r="M42" s="202"/>
      <c r="N42" s="203">
        <f>SUM(O42,R42)</f>
        <v>0</v>
      </c>
      <c r="O42" s="242"/>
      <c r="P42" s="242"/>
      <c r="Q42" s="242"/>
      <c r="R42" s="202"/>
      <c r="S42" s="15"/>
    </row>
    <row r="43" spans="1:19" ht="39">
      <c r="A43" s="217"/>
      <c r="B43" s="217">
        <v>75411</v>
      </c>
      <c r="C43" s="231" t="s">
        <v>387</v>
      </c>
      <c r="D43" s="202">
        <f>SUM(E43,N43)</f>
        <v>45000</v>
      </c>
      <c r="E43" s="202">
        <f t="shared" si="8"/>
        <v>0</v>
      </c>
      <c r="F43" s="202">
        <f t="shared" si="9"/>
        <v>0</v>
      </c>
      <c r="G43" s="202"/>
      <c r="H43" s="202"/>
      <c r="I43" s="202"/>
      <c r="J43" s="202"/>
      <c r="K43" s="202"/>
      <c r="L43" s="202"/>
      <c r="M43" s="202"/>
      <c r="N43" s="204">
        <f>SUM(O43,R43)</f>
        <v>45000</v>
      </c>
      <c r="O43" s="242">
        <v>45000</v>
      </c>
      <c r="P43" s="242"/>
      <c r="Q43" s="242">
        <v>45000</v>
      </c>
      <c r="R43" s="202"/>
      <c r="S43" s="15"/>
    </row>
    <row r="44" spans="1:19" ht="22.5" customHeight="1">
      <c r="A44" s="217"/>
      <c r="B44" s="217">
        <v>75412</v>
      </c>
      <c r="C44" s="228" t="s">
        <v>148</v>
      </c>
      <c r="D44" s="202">
        <f t="shared" si="7"/>
        <v>121000</v>
      </c>
      <c r="E44" s="202">
        <f t="shared" si="8"/>
        <v>121000</v>
      </c>
      <c r="F44" s="202">
        <f t="shared" si="9"/>
        <v>0</v>
      </c>
      <c r="G44" s="202"/>
      <c r="H44" s="202"/>
      <c r="I44" s="202">
        <v>86000</v>
      </c>
      <c r="J44" s="202">
        <v>35000</v>
      </c>
      <c r="K44" s="202"/>
      <c r="L44" s="202"/>
      <c r="M44" s="202"/>
      <c r="N44" s="203"/>
      <c r="O44" s="242"/>
      <c r="P44" s="242"/>
      <c r="Q44" s="242"/>
      <c r="R44" s="202"/>
      <c r="S44" s="15"/>
    </row>
    <row r="45" spans="1:19" ht="12.75">
      <c r="A45" s="217"/>
      <c r="B45" s="217">
        <v>75414</v>
      </c>
      <c r="C45" s="228" t="s">
        <v>78</v>
      </c>
      <c r="D45" s="202">
        <f t="shared" si="7"/>
        <v>9502</v>
      </c>
      <c r="E45" s="202">
        <f t="shared" si="8"/>
        <v>9502</v>
      </c>
      <c r="F45" s="202">
        <f t="shared" si="9"/>
        <v>9502</v>
      </c>
      <c r="G45" s="202"/>
      <c r="H45" s="202">
        <v>9502</v>
      </c>
      <c r="I45" s="202"/>
      <c r="J45" s="202"/>
      <c r="K45" s="202"/>
      <c r="L45" s="202"/>
      <c r="M45" s="202"/>
      <c r="N45" s="203" t="s">
        <v>227</v>
      </c>
      <c r="O45" s="242"/>
      <c r="P45" s="242"/>
      <c r="Q45" s="242"/>
      <c r="R45" s="202"/>
      <c r="S45" s="15"/>
    </row>
    <row r="46" spans="1:19" ht="12.75">
      <c r="A46" s="217"/>
      <c r="B46" s="217"/>
      <c r="C46" s="234" t="s">
        <v>144</v>
      </c>
      <c r="D46" s="205">
        <f>SUM(E46,N46)</f>
        <v>3500</v>
      </c>
      <c r="E46" s="205">
        <f t="shared" si="8"/>
        <v>3500</v>
      </c>
      <c r="F46" s="205">
        <f>SUM(G46,H46)</f>
        <v>3500</v>
      </c>
      <c r="G46" s="205"/>
      <c r="H46" s="205">
        <v>3500</v>
      </c>
      <c r="I46" s="202"/>
      <c r="J46" s="202"/>
      <c r="K46" s="202"/>
      <c r="L46" s="202"/>
      <c r="M46" s="202"/>
      <c r="N46" s="203"/>
      <c r="O46" s="242"/>
      <c r="P46" s="242"/>
      <c r="Q46" s="242"/>
      <c r="R46" s="202"/>
      <c r="S46" s="15"/>
    </row>
    <row r="47" spans="1:19" ht="19.5">
      <c r="A47" s="217"/>
      <c r="B47" s="217">
        <v>75421</v>
      </c>
      <c r="C47" s="228" t="s">
        <v>149</v>
      </c>
      <c r="D47" s="204">
        <f>SUM(E47,N47)</f>
        <v>177200</v>
      </c>
      <c r="E47" s="204">
        <f t="shared" si="8"/>
        <v>160100</v>
      </c>
      <c r="F47" s="204">
        <f>SUM(G47,H47)</f>
        <v>160100</v>
      </c>
      <c r="G47" s="204"/>
      <c r="H47" s="204">
        <v>160100</v>
      </c>
      <c r="I47" s="202"/>
      <c r="J47" s="202"/>
      <c r="K47" s="202"/>
      <c r="L47" s="202"/>
      <c r="M47" s="202"/>
      <c r="N47" s="204">
        <f aca="true" t="shared" si="13" ref="N47:N57">SUM(O47,R47)</f>
        <v>17100</v>
      </c>
      <c r="O47" s="242">
        <v>17100</v>
      </c>
      <c r="P47" s="242"/>
      <c r="Q47" s="242"/>
      <c r="R47" s="202"/>
      <c r="S47" s="15"/>
    </row>
    <row r="48" spans="1:19" ht="19.5">
      <c r="A48" s="217"/>
      <c r="B48" s="217">
        <v>75495</v>
      </c>
      <c r="C48" s="228" t="s">
        <v>57</v>
      </c>
      <c r="D48" s="202">
        <f t="shared" si="7"/>
        <v>282800</v>
      </c>
      <c r="E48" s="202">
        <f t="shared" si="8"/>
        <v>0</v>
      </c>
      <c r="F48" s="202">
        <f t="shared" si="9"/>
        <v>0</v>
      </c>
      <c r="G48" s="202"/>
      <c r="H48" s="202" t="s">
        <v>227</v>
      </c>
      <c r="I48" s="202"/>
      <c r="J48" s="202"/>
      <c r="K48" s="202"/>
      <c r="L48" s="202"/>
      <c r="M48" s="202"/>
      <c r="N48" s="204">
        <f t="shared" si="13"/>
        <v>282800</v>
      </c>
      <c r="O48" s="242">
        <v>282800</v>
      </c>
      <c r="P48" s="242"/>
      <c r="Q48" s="242"/>
      <c r="R48" s="202"/>
      <c r="S48" s="15"/>
    </row>
    <row r="49" spans="1:19" ht="118.5" customHeight="1">
      <c r="A49" s="213">
        <v>756</v>
      </c>
      <c r="B49" s="213"/>
      <c r="C49" s="227" t="s">
        <v>546</v>
      </c>
      <c r="D49" s="203">
        <f t="shared" si="7"/>
        <v>53587</v>
      </c>
      <c r="E49" s="203">
        <f t="shared" si="8"/>
        <v>53587</v>
      </c>
      <c r="F49" s="203">
        <f t="shared" si="9"/>
        <v>53587</v>
      </c>
      <c r="G49" s="203">
        <f aca="true" t="shared" si="14" ref="G49:M49">SUM(G50)</f>
        <v>25587</v>
      </c>
      <c r="H49" s="203">
        <f t="shared" si="14"/>
        <v>28000</v>
      </c>
      <c r="I49" s="203">
        <f t="shared" si="14"/>
        <v>0</v>
      </c>
      <c r="J49" s="203">
        <f t="shared" si="14"/>
        <v>0</v>
      </c>
      <c r="K49" s="203">
        <f t="shared" si="14"/>
        <v>0</v>
      </c>
      <c r="L49" s="203">
        <f t="shared" si="14"/>
        <v>0</v>
      </c>
      <c r="M49" s="203">
        <f t="shared" si="14"/>
        <v>0</v>
      </c>
      <c r="N49" s="203">
        <f t="shared" si="13"/>
        <v>0</v>
      </c>
      <c r="O49" s="241">
        <f>SUM(O50)</f>
        <v>0</v>
      </c>
      <c r="P49" s="241"/>
      <c r="Q49" s="241"/>
      <c r="R49" s="203">
        <f>SUM(R50)</f>
        <v>0</v>
      </c>
      <c r="S49" s="15"/>
    </row>
    <row r="50" spans="1:19" ht="55.5" customHeight="1">
      <c r="A50" s="217"/>
      <c r="B50" s="217">
        <v>75647</v>
      </c>
      <c r="C50" s="228" t="s">
        <v>444</v>
      </c>
      <c r="D50" s="202">
        <f>SUM(E50,N50)</f>
        <v>53587</v>
      </c>
      <c r="E50" s="202">
        <f>SUM(F50,I50,J50,K50,L50,M50)</f>
        <v>53587</v>
      </c>
      <c r="F50" s="202">
        <f>SUM(G50,H50)</f>
        <v>53587</v>
      </c>
      <c r="G50" s="202">
        <v>25587</v>
      </c>
      <c r="H50" s="202">
        <v>28000</v>
      </c>
      <c r="I50" s="202"/>
      <c r="J50" s="202"/>
      <c r="K50" s="202"/>
      <c r="L50" s="202"/>
      <c r="M50" s="202"/>
      <c r="N50" s="203">
        <f t="shared" si="13"/>
        <v>0</v>
      </c>
      <c r="O50" s="242"/>
      <c r="P50" s="242"/>
      <c r="Q50" s="242"/>
      <c r="R50" s="202"/>
      <c r="S50" s="15"/>
    </row>
    <row r="51" spans="1:19" ht="18">
      <c r="A51" s="213">
        <v>757</v>
      </c>
      <c r="B51" s="213"/>
      <c r="C51" s="227" t="s">
        <v>150</v>
      </c>
      <c r="D51" s="203">
        <f t="shared" si="7"/>
        <v>1200000</v>
      </c>
      <c r="E51" s="203">
        <f t="shared" si="8"/>
        <v>1200000</v>
      </c>
      <c r="F51" s="203">
        <f>SUM(G51,H51)</f>
        <v>0</v>
      </c>
      <c r="G51" s="203">
        <f aca="true" t="shared" si="15" ref="G51:M51">SUM(G52)</f>
        <v>0</v>
      </c>
      <c r="H51" s="203">
        <f t="shared" si="15"/>
        <v>0</v>
      </c>
      <c r="I51" s="203">
        <f t="shared" si="15"/>
        <v>0</v>
      </c>
      <c r="J51" s="203">
        <f t="shared" si="15"/>
        <v>0</v>
      </c>
      <c r="K51" s="203">
        <f t="shared" si="15"/>
        <v>0</v>
      </c>
      <c r="L51" s="203">
        <f t="shared" si="15"/>
        <v>0</v>
      </c>
      <c r="M51" s="398">
        <f t="shared" si="15"/>
        <v>1200000</v>
      </c>
      <c r="N51" s="203">
        <f t="shared" si="13"/>
        <v>0</v>
      </c>
      <c r="O51" s="241">
        <f>SUM(O52)</f>
        <v>0</v>
      </c>
      <c r="P51" s="241"/>
      <c r="Q51" s="241"/>
      <c r="R51" s="203">
        <f>SUM(R52)</f>
        <v>0</v>
      </c>
      <c r="S51" s="15"/>
    </row>
    <row r="52" spans="1:19" ht="48.75">
      <c r="A52" s="217"/>
      <c r="B52" s="217">
        <v>75702</v>
      </c>
      <c r="C52" s="228" t="s">
        <v>445</v>
      </c>
      <c r="D52" s="202">
        <f t="shared" si="7"/>
        <v>1200000</v>
      </c>
      <c r="E52" s="202">
        <f t="shared" si="8"/>
        <v>1200000</v>
      </c>
      <c r="F52" s="202"/>
      <c r="G52" s="202"/>
      <c r="H52" s="202"/>
      <c r="I52" s="202"/>
      <c r="J52" s="202"/>
      <c r="K52" s="202"/>
      <c r="L52" s="202"/>
      <c r="M52" s="399">
        <v>1200000</v>
      </c>
      <c r="N52" s="203">
        <f t="shared" si="13"/>
        <v>0</v>
      </c>
      <c r="O52" s="242"/>
      <c r="P52" s="242"/>
      <c r="Q52" s="242"/>
      <c r="R52" s="202"/>
      <c r="S52" s="15"/>
    </row>
    <row r="53" spans="1:19" ht="18">
      <c r="A53" s="213">
        <v>758</v>
      </c>
      <c r="B53" s="213"/>
      <c r="C53" s="227" t="s">
        <v>98</v>
      </c>
      <c r="D53" s="203">
        <f t="shared" si="7"/>
        <v>501073</v>
      </c>
      <c r="E53" s="203">
        <f>SUM(F53,I53,J53,K53,L53,M53)</f>
        <v>151073</v>
      </c>
      <c r="F53" s="203">
        <f aca="true" t="shared" si="16" ref="F53:F62">SUM(G53,H53)</f>
        <v>151073</v>
      </c>
      <c r="G53" s="203">
        <f>SUM(G54:G54)</f>
        <v>0</v>
      </c>
      <c r="H53" s="203">
        <f>SUM(H54:H54)</f>
        <v>151073</v>
      </c>
      <c r="I53" s="203">
        <f>SUM(I54)</f>
        <v>0</v>
      </c>
      <c r="J53" s="203">
        <f>SUM(J54)</f>
        <v>0</v>
      </c>
      <c r="K53" s="203">
        <f>SUM(K54)</f>
        <v>0</v>
      </c>
      <c r="L53" s="203">
        <f>SUM(L54)</f>
        <v>0</v>
      </c>
      <c r="M53" s="203">
        <f>SUM(M54)</f>
        <v>0</v>
      </c>
      <c r="N53" s="203">
        <f t="shared" si="13"/>
        <v>350000</v>
      </c>
      <c r="O53" s="241">
        <f>SUM(O54:O54)</f>
        <v>350000</v>
      </c>
      <c r="P53" s="241"/>
      <c r="Q53" s="241"/>
      <c r="R53" s="203">
        <f>SUM(R54)</f>
        <v>0</v>
      </c>
      <c r="S53" s="15"/>
    </row>
    <row r="54" spans="1:19" s="17" customFormat="1" ht="19.5">
      <c r="A54" s="217"/>
      <c r="B54" s="217">
        <v>75818</v>
      </c>
      <c r="C54" s="228" t="s">
        <v>151</v>
      </c>
      <c r="D54" s="202">
        <f>SUM(E54,N54)</f>
        <v>501073</v>
      </c>
      <c r="E54" s="202">
        <f>SUM(F54,I54,J54,K54,L54,M54)</f>
        <v>151073</v>
      </c>
      <c r="F54" s="202">
        <f t="shared" si="16"/>
        <v>151073</v>
      </c>
      <c r="G54" s="202"/>
      <c r="H54" s="202">
        <f>150000+1073</f>
        <v>151073</v>
      </c>
      <c r="I54" s="202"/>
      <c r="J54" s="202"/>
      <c r="K54" s="202"/>
      <c r="L54" s="202"/>
      <c r="M54" s="202"/>
      <c r="N54" s="202">
        <f t="shared" si="13"/>
        <v>350000</v>
      </c>
      <c r="O54" s="242">
        <v>350000</v>
      </c>
      <c r="P54" s="242"/>
      <c r="Q54" s="242"/>
      <c r="R54" s="202"/>
      <c r="S54" s="15"/>
    </row>
    <row r="55" spans="1:19" ht="21" customHeight="1">
      <c r="A55" s="213">
        <v>801</v>
      </c>
      <c r="B55" s="213"/>
      <c r="C55" s="227" t="s">
        <v>104</v>
      </c>
      <c r="D55" s="207">
        <f t="shared" si="7"/>
        <v>27177727.87</v>
      </c>
      <c r="E55" s="207">
        <f>SUM(F55,I55,J55,K55,L55,M55)</f>
        <v>24861887.87</v>
      </c>
      <c r="F55" s="203">
        <f>SUM(G55,H55)</f>
        <v>22299570</v>
      </c>
      <c r="G55" s="203">
        <f>SUM(G56:G62)</f>
        <v>18616071</v>
      </c>
      <c r="H55" s="203">
        <f>SUM(H56:H62)</f>
        <v>3683499</v>
      </c>
      <c r="I55" s="203">
        <f>SUM(I56:I62)</f>
        <v>2037334</v>
      </c>
      <c r="J55" s="203">
        <f>SUM(J56:J62)</f>
        <v>91425</v>
      </c>
      <c r="K55" s="364">
        <f>SUM(K56:K62)</f>
        <v>433558.87</v>
      </c>
      <c r="L55" s="203">
        <f aca="true" t="shared" si="17" ref="L55:R55">SUM(L56:L59)</f>
        <v>0</v>
      </c>
      <c r="M55" s="203">
        <f t="shared" si="17"/>
        <v>0</v>
      </c>
      <c r="N55" s="203">
        <f t="shared" si="13"/>
        <v>2315840</v>
      </c>
      <c r="O55" s="241">
        <f>SUM(O56:O62)</f>
        <v>2315840</v>
      </c>
      <c r="P55" s="241">
        <f t="shared" si="17"/>
        <v>0</v>
      </c>
      <c r="Q55" s="241"/>
      <c r="R55" s="203">
        <f t="shared" si="17"/>
        <v>0</v>
      </c>
      <c r="S55" s="15"/>
    </row>
    <row r="56" spans="1:19" s="17" customFormat="1" ht="19.5">
      <c r="A56" s="217"/>
      <c r="B56" s="217">
        <v>80101</v>
      </c>
      <c r="C56" s="228" t="s">
        <v>152</v>
      </c>
      <c r="D56" s="202">
        <f t="shared" si="7"/>
        <v>10584942</v>
      </c>
      <c r="E56" s="202">
        <f t="shared" si="8"/>
        <v>10584942</v>
      </c>
      <c r="F56" s="202">
        <f t="shared" si="16"/>
        <v>9494393</v>
      </c>
      <c r="G56" s="202">
        <f>8089433+38250</f>
        <v>8127683</v>
      </c>
      <c r="H56" s="202">
        <v>1366710</v>
      </c>
      <c r="I56" s="202">
        <v>1080549</v>
      </c>
      <c r="J56" s="202">
        <v>10000</v>
      </c>
      <c r="K56" s="202"/>
      <c r="L56" s="202"/>
      <c r="M56" s="202"/>
      <c r="N56" s="202">
        <f t="shared" si="13"/>
        <v>0</v>
      </c>
      <c r="O56" s="242"/>
      <c r="P56" s="242"/>
      <c r="Q56" s="242"/>
      <c r="R56" s="202"/>
      <c r="S56" s="15"/>
    </row>
    <row r="57" spans="1:19" s="17" customFormat="1" ht="29.25" customHeight="1">
      <c r="A57" s="217"/>
      <c r="B57" s="217">
        <v>80103</v>
      </c>
      <c r="C57" s="228" t="s">
        <v>446</v>
      </c>
      <c r="D57" s="202">
        <f t="shared" si="7"/>
        <v>262061</v>
      </c>
      <c r="E57" s="202">
        <f t="shared" si="8"/>
        <v>262061</v>
      </c>
      <c r="F57" s="202">
        <f t="shared" si="16"/>
        <v>262061</v>
      </c>
      <c r="G57" s="202">
        <v>262061</v>
      </c>
      <c r="H57" s="202" t="s">
        <v>227</v>
      </c>
      <c r="I57" s="202"/>
      <c r="J57" s="202"/>
      <c r="K57" s="202"/>
      <c r="L57" s="202"/>
      <c r="M57" s="202"/>
      <c r="N57" s="202">
        <f t="shared" si="13"/>
        <v>0</v>
      </c>
      <c r="O57" s="242"/>
      <c r="P57" s="242"/>
      <c r="Q57" s="242"/>
      <c r="R57" s="202"/>
      <c r="S57" s="15"/>
    </row>
    <row r="58" spans="1:19" s="17" customFormat="1" ht="12.75">
      <c r="A58" s="217"/>
      <c r="B58" s="217">
        <v>80104</v>
      </c>
      <c r="C58" s="228" t="s">
        <v>269</v>
      </c>
      <c r="D58" s="202">
        <f t="shared" si="7"/>
        <v>6442574</v>
      </c>
      <c r="E58" s="202">
        <f t="shared" si="8"/>
        <v>6442574</v>
      </c>
      <c r="F58" s="202">
        <f t="shared" si="16"/>
        <v>6388194</v>
      </c>
      <c r="G58" s="202">
        <f>5152057-11000</f>
        <v>5141057</v>
      </c>
      <c r="H58" s="202">
        <v>1247137</v>
      </c>
      <c r="I58" s="202">
        <v>50880</v>
      </c>
      <c r="J58" s="202">
        <v>3500</v>
      </c>
      <c r="K58" s="202"/>
      <c r="L58" s="202"/>
      <c r="M58" s="202"/>
      <c r="N58" s="202"/>
      <c r="O58" s="242"/>
      <c r="P58" s="242"/>
      <c r="Q58" s="242"/>
      <c r="R58" s="202"/>
      <c r="S58" s="15"/>
    </row>
    <row r="59" spans="1:19" s="17" customFormat="1" ht="12.75">
      <c r="A59" s="217"/>
      <c r="B59" s="217">
        <v>80110</v>
      </c>
      <c r="C59" s="228" t="s">
        <v>153</v>
      </c>
      <c r="D59" s="202">
        <f>SUM(E59,N59)</f>
        <v>6039769</v>
      </c>
      <c r="E59" s="202">
        <f>SUM(F59,I59,J59,K59,L59,M59)</f>
        <v>6039769</v>
      </c>
      <c r="F59" s="202">
        <f t="shared" si="16"/>
        <v>5165064</v>
      </c>
      <c r="G59" s="202">
        <v>4758054</v>
      </c>
      <c r="H59" s="202">
        <v>407010</v>
      </c>
      <c r="I59" s="202">
        <v>870905</v>
      </c>
      <c r="J59" s="202">
        <v>3800</v>
      </c>
      <c r="K59" s="202"/>
      <c r="L59" s="202"/>
      <c r="M59" s="202"/>
      <c r="N59" s="202">
        <f aca="true" t="shared" si="18" ref="N59:N66">SUM(O59,R59)</f>
        <v>0</v>
      </c>
      <c r="O59" s="242"/>
      <c r="P59" s="242"/>
      <c r="Q59" s="242"/>
      <c r="R59" s="202"/>
      <c r="S59" s="15"/>
    </row>
    <row r="60" spans="1:19" s="17" customFormat="1" ht="29.25">
      <c r="A60" s="217"/>
      <c r="B60" s="217">
        <v>80146</v>
      </c>
      <c r="C60" s="228" t="s">
        <v>154</v>
      </c>
      <c r="D60" s="202">
        <f>SUM(E60,N60)</f>
        <v>118124</v>
      </c>
      <c r="E60" s="202">
        <f>SUM(F60,I60,J60,K60,L60,M60)</f>
        <v>118124</v>
      </c>
      <c r="F60" s="202">
        <f t="shared" si="16"/>
        <v>118124</v>
      </c>
      <c r="G60" s="202"/>
      <c r="H60" s="202">
        <v>118124</v>
      </c>
      <c r="I60" s="202"/>
      <c r="J60" s="202"/>
      <c r="K60" s="202"/>
      <c r="L60" s="202"/>
      <c r="M60" s="202"/>
      <c r="N60" s="202">
        <f t="shared" si="18"/>
        <v>0</v>
      </c>
      <c r="O60" s="242"/>
      <c r="P60" s="242"/>
      <c r="Q60" s="242"/>
      <c r="R60" s="202"/>
      <c r="S60" s="15"/>
    </row>
    <row r="61" spans="1:19" s="17" customFormat="1" ht="12.75">
      <c r="A61" s="217"/>
      <c r="B61" s="217">
        <v>80148</v>
      </c>
      <c r="C61" s="228" t="s">
        <v>113</v>
      </c>
      <c r="D61" s="202">
        <f>SUM(E61,N61)</f>
        <v>561281</v>
      </c>
      <c r="E61" s="202">
        <f>SUM(F61,I61,J61,K61,L61,M61)</f>
        <v>561281</v>
      </c>
      <c r="F61" s="202">
        <f t="shared" si="16"/>
        <v>560781</v>
      </c>
      <c r="G61" s="202">
        <v>317216</v>
      </c>
      <c r="H61" s="202">
        <v>243565</v>
      </c>
      <c r="I61" s="202"/>
      <c r="J61" s="202">
        <v>500</v>
      </c>
      <c r="K61" s="202"/>
      <c r="L61" s="202"/>
      <c r="M61" s="202"/>
      <c r="N61" s="202">
        <f t="shared" si="18"/>
        <v>0</v>
      </c>
      <c r="O61" s="242"/>
      <c r="P61" s="242"/>
      <c r="Q61" s="242"/>
      <c r="R61" s="202"/>
      <c r="S61" s="15"/>
    </row>
    <row r="62" spans="1:19" s="17" customFormat="1" ht="19.5">
      <c r="A62" s="217"/>
      <c r="B62" s="217">
        <v>80195</v>
      </c>
      <c r="C62" s="228" t="s">
        <v>57</v>
      </c>
      <c r="D62" s="210">
        <f>SUM(E62,N62)</f>
        <v>3168976.87</v>
      </c>
      <c r="E62" s="210">
        <f>SUM(F62,I62,J62,K62,L62,M62)</f>
        <v>853136.87</v>
      </c>
      <c r="F62" s="202">
        <f t="shared" si="16"/>
        <v>310953</v>
      </c>
      <c r="G62" s="210">
        <f>10000</f>
        <v>10000</v>
      </c>
      <c r="H62" s="202">
        <f>300953</f>
        <v>300953</v>
      </c>
      <c r="I62" s="202">
        <v>35000</v>
      </c>
      <c r="J62" s="202">
        <v>73625</v>
      </c>
      <c r="K62" s="471">
        <v>433558.87</v>
      </c>
      <c r="L62" s="202"/>
      <c r="M62" s="202"/>
      <c r="N62" s="202">
        <f t="shared" si="18"/>
        <v>2315840</v>
      </c>
      <c r="O62" s="242">
        <f>2115840+200000</f>
        <v>2315840</v>
      </c>
      <c r="P62" s="242"/>
      <c r="Q62" s="242"/>
      <c r="R62" s="202"/>
      <c r="S62" s="15"/>
    </row>
    <row r="63" spans="1:19" ht="18">
      <c r="A63" s="213">
        <v>851</v>
      </c>
      <c r="B63" s="213"/>
      <c r="C63" s="227" t="s">
        <v>105</v>
      </c>
      <c r="D63" s="203">
        <f aca="true" t="shared" si="19" ref="D63:D75">SUM(E63,N63)</f>
        <v>635000</v>
      </c>
      <c r="E63" s="203">
        <f aca="true" t="shared" si="20" ref="E63:E80">SUM(F63,I63,J63,K63,L63,M63)</f>
        <v>340000</v>
      </c>
      <c r="F63" s="203">
        <f>SUM(G63,H63)</f>
        <v>246800</v>
      </c>
      <c r="G63" s="203">
        <f>SUM(G64:G68)</f>
        <v>115000</v>
      </c>
      <c r="H63" s="203">
        <f>SUM(H64:H68)</f>
        <v>131800</v>
      </c>
      <c r="I63" s="203">
        <f aca="true" t="shared" si="21" ref="I63:R63">SUM(I64:I67)</f>
        <v>93200</v>
      </c>
      <c r="J63" s="203">
        <f t="shared" si="21"/>
        <v>0</v>
      </c>
      <c r="K63" s="203">
        <f t="shared" si="21"/>
        <v>0</v>
      </c>
      <c r="L63" s="203">
        <f t="shared" si="21"/>
        <v>0</v>
      </c>
      <c r="M63" s="203">
        <f t="shared" si="21"/>
        <v>0</v>
      </c>
      <c r="N63" s="203">
        <f t="shared" si="18"/>
        <v>295000</v>
      </c>
      <c r="O63" s="241">
        <f t="shared" si="21"/>
        <v>295000</v>
      </c>
      <c r="P63" s="241">
        <f t="shared" si="21"/>
        <v>0</v>
      </c>
      <c r="Q63" s="241"/>
      <c r="R63" s="203">
        <f t="shared" si="21"/>
        <v>0</v>
      </c>
      <c r="S63" s="15"/>
    </row>
    <row r="64" spans="1:19" s="17" customFormat="1" ht="12.75" hidden="1">
      <c r="A64" s="217"/>
      <c r="B64" s="217"/>
      <c r="C64" s="228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>
        <f t="shared" si="18"/>
        <v>0</v>
      </c>
      <c r="O64" s="242"/>
      <c r="P64" s="242"/>
      <c r="Q64" s="242"/>
      <c r="R64" s="202"/>
      <c r="S64" s="15"/>
    </row>
    <row r="65" spans="1:19" s="17" customFormat="1" ht="19.5">
      <c r="A65" s="217"/>
      <c r="B65" s="217">
        <v>85153</v>
      </c>
      <c r="C65" s="228" t="s">
        <v>155</v>
      </c>
      <c r="D65" s="202">
        <f t="shared" si="19"/>
        <v>50000</v>
      </c>
      <c r="E65" s="202">
        <f t="shared" si="20"/>
        <v>50000</v>
      </c>
      <c r="F65" s="202">
        <f>SUM(G65,H65)</f>
        <v>50000</v>
      </c>
      <c r="G65" s="202">
        <v>15000</v>
      </c>
      <c r="H65" s="202">
        <v>35000</v>
      </c>
      <c r="I65" s="202"/>
      <c r="J65" s="202"/>
      <c r="K65" s="202"/>
      <c r="L65" s="202"/>
      <c r="M65" s="202"/>
      <c r="N65" s="202">
        <f t="shared" si="18"/>
        <v>0</v>
      </c>
      <c r="O65" s="242"/>
      <c r="P65" s="242"/>
      <c r="Q65" s="242"/>
      <c r="R65" s="202"/>
      <c r="S65" s="15"/>
    </row>
    <row r="66" spans="1:19" s="17" customFormat="1" ht="19.5">
      <c r="A66" s="217"/>
      <c r="B66" s="217">
        <v>85154</v>
      </c>
      <c r="C66" s="228" t="s">
        <v>106</v>
      </c>
      <c r="D66" s="202">
        <f>SUM(E66,N66)</f>
        <v>560000</v>
      </c>
      <c r="E66" s="202">
        <f>SUM(F66,I66,J66,K66,L66,M66)</f>
        <v>265000</v>
      </c>
      <c r="F66" s="202">
        <f>SUM(G66,H66)</f>
        <v>171800</v>
      </c>
      <c r="G66" s="202">
        <v>100000</v>
      </c>
      <c r="H66" s="202">
        <v>71800</v>
      </c>
      <c r="I66" s="202">
        <v>93200</v>
      </c>
      <c r="J66" s="202"/>
      <c r="K66" s="202"/>
      <c r="L66" s="202"/>
      <c r="M66" s="202"/>
      <c r="N66" s="202">
        <f t="shared" si="18"/>
        <v>295000</v>
      </c>
      <c r="O66" s="242">
        <v>295000</v>
      </c>
      <c r="P66" s="242"/>
      <c r="Q66" s="242"/>
      <c r="R66" s="202"/>
      <c r="S66" s="15"/>
    </row>
    <row r="67" spans="1:19" s="17" customFormat="1" ht="20.25" customHeight="1">
      <c r="A67" s="217"/>
      <c r="B67" s="217">
        <v>85195</v>
      </c>
      <c r="C67" s="228" t="s">
        <v>57</v>
      </c>
      <c r="D67" s="202">
        <f t="shared" si="19"/>
        <v>25000</v>
      </c>
      <c r="E67" s="202">
        <f t="shared" si="20"/>
        <v>25000</v>
      </c>
      <c r="F67" s="202">
        <f>SUM(G67,H67)</f>
        <v>25000</v>
      </c>
      <c r="G67" s="202" t="s">
        <v>227</v>
      </c>
      <c r="H67" s="202">
        <v>25000</v>
      </c>
      <c r="I67" s="202"/>
      <c r="J67" s="202"/>
      <c r="K67" s="202"/>
      <c r="L67" s="202"/>
      <c r="M67" s="202"/>
      <c r="N67" s="202">
        <f>SUM(O67,R67)</f>
        <v>0</v>
      </c>
      <c r="O67" s="242"/>
      <c r="P67" s="242"/>
      <c r="Q67" s="242"/>
      <c r="R67" s="202"/>
      <c r="S67" s="15"/>
    </row>
    <row r="68" spans="1:19" s="17" customFormat="1" ht="12.75" hidden="1">
      <c r="A68" s="217"/>
      <c r="B68" s="217"/>
      <c r="C68" s="228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42"/>
      <c r="P68" s="242"/>
      <c r="Q68" s="242"/>
      <c r="R68" s="202"/>
      <c r="S68" s="15"/>
    </row>
    <row r="69" spans="1:19" ht="18">
      <c r="A69" s="213">
        <v>852</v>
      </c>
      <c r="B69" s="213"/>
      <c r="C69" s="227" t="s">
        <v>109</v>
      </c>
      <c r="D69" s="203">
        <f t="shared" si="19"/>
        <v>9780781</v>
      </c>
      <c r="E69" s="203">
        <f t="shared" si="20"/>
        <v>9780781</v>
      </c>
      <c r="F69" s="203">
        <f>SUM(G69,H69)</f>
        <v>2495013</v>
      </c>
      <c r="G69" s="203">
        <f>SUM(G71,G73,G74,G76,G78,G81,G83,G85,G87)</f>
        <v>1735646</v>
      </c>
      <c r="H69" s="203">
        <f>SUM(H71,H73,H74,H76,H78,H81,H83,H85,H87)</f>
        <v>759367</v>
      </c>
      <c r="I69" s="203">
        <f>SUM(I71,I73,I74,I76,I78,I81,I83,I85,I87)</f>
        <v>0</v>
      </c>
      <c r="J69" s="203">
        <f>SUM(J71,J73,J74,J76,J78,J80,J81,J83,J85,J87)</f>
        <v>7285768</v>
      </c>
      <c r="K69" s="203">
        <f>SUM(K74:K87)</f>
        <v>0</v>
      </c>
      <c r="L69" s="203">
        <f>SUM(L74:L87)</f>
        <v>0</v>
      </c>
      <c r="M69" s="203">
        <f>SUM(M74:M87)</f>
        <v>0</v>
      </c>
      <c r="N69" s="203">
        <f>SUM(O69,R69)</f>
        <v>0</v>
      </c>
      <c r="O69" s="241">
        <f>SUM(O74:O87)</f>
        <v>0</v>
      </c>
      <c r="P69" s="241">
        <f>SUM(P74:P87)</f>
        <v>0</v>
      </c>
      <c r="Q69" s="241"/>
      <c r="R69" s="203">
        <f>SUM(R74:R87)</f>
        <v>0</v>
      </c>
      <c r="S69" s="15"/>
    </row>
    <row r="70" spans="1:19" ht="12.75">
      <c r="A70" s="213"/>
      <c r="B70" s="213"/>
      <c r="C70" s="234" t="s">
        <v>144</v>
      </c>
      <c r="D70" s="205">
        <f>SUM(D72,D75,D77,D79,D82,D84,D86)</f>
        <v>6806513</v>
      </c>
      <c r="E70" s="205">
        <f aca="true" t="shared" si="22" ref="E70:J70">SUM(E75,E77,E79,E82,E84)</f>
        <v>6441059</v>
      </c>
      <c r="F70" s="205">
        <f t="shared" si="22"/>
        <v>860828</v>
      </c>
      <c r="G70" s="205">
        <f t="shared" si="22"/>
        <v>784700</v>
      </c>
      <c r="H70" s="205">
        <f t="shared" si="22"/>
        <v>76128</v>
      </c>
      <c r="I70" s="205">
        <f t="shared" si="22"/>
        <v>0</v>
      </c>
      <c r="J70" s="205">
        <f t="shared" si="22"/>
        <v>5580231</v>
      </c>
      <c r="K70" s="203"/>
      <c r="L70" s="203"/>
      <c r="M70" s="203"/>
      <c r="N70" s="203"/>
      <c r="O70" s="241"/>
      <c r="P70" s="241"/>
      <c r="Q70" s="241"/>
      <c r="R70" s="203"/>
      <c r="S70" s="15"/>
    </row>
    <row r="71" spans="1:19" ht="19.5">
      <c r="A71" s="213"/>
      <c r="B71" s="214">
        <v>85203</v>
      </c>
      <c r="C71" s="229" t="s">
        <v>388</v>
      </c>
      <c r="D71" s="202">
        <f>SUM(E71,N71)</f>
        <v>253800</v>
      </c>
      <c r="E71" s="202">
        <f>SUM(F71,I71,J71,K71,L71,M71)</f>
        <v>253800</v>
      </c>
      <c r="F71" s="202">
        <f>SUM(G71,H71)</f>
        <v>253800</v>
      </c>
      <c r="G71" s="202">
        <v>188879</v>
      </c>
      <c r="H71" s="202">
        <v>64921</v>
      </c>
      <c r="I71" s="202"/>
      <c r="J71" s="202" t="s">
        <v>227</v>
      </c>
      <c r="K71" s="202"/>
      <c r="L71" s="202"/>
      <c r="M71" s="202"/>
      <c r="N71" s="203">
        <f>SUM(O71,R71)</f>
        <v>0</v>
      </c>
      <c r="O71" s="242"/>
      <c r="P71" s="242"/>
      <c r="Q71" s="242"/>
      <c r="R71" s="202"/>
      <c r="S71" s="15"/>
    </row>
    <row r="72" spans="1:19" ht="12.75">
      <c r="A72" s="213"/>
      <c r="B72" s="213"/>
      <c r="C72" s="234" t="s">
        <v>144</v>
      </c>
      <c r="D72" s="205">
        <f>SUM(E72,N72)</f>
        <v>253800</v>
      </c>
      <c r="E72" s="205">
        <f>SUM(F72,I72,J72,K72,L72,M72)</f>
        <v>253800</v>
      </c>
      <c r="F72" s="205">
        <f>SUM(G72,H72)</f>
        <v>253800</v>
      </c>
      <c r="G72" s="205">
        <v>188879</v>
      </c>
      <c r="H72" s="205">
        <v>64921</v>
      </c>
      <c r="I72" s="205"/>
      <c r="J72" s="205" t="s">
        <v>227</v>
      </c>
      <c r="K72" s="202"/>
      <c r="L72" s="202"/>
      <c r="M72" s="202"/>
      <c r="N72" s="203"/>
      <c r="O72" s="242"/>
      <c r="P72" s="242"/>
      <c r="Q72" s="242"/>
      <c r="R72" s="202"/>
      <c r="S72" s="15"/>
    </row>
    <row r="73" spans="1:19" ht="29.25">
      <c r="A73" s="213"/>
      <c r="B73" s="214">
        <v>85205</v>
      </c>
      <c r="C73" s="229" t="s">
        <v>389</v>
      </c>
      <c r="D73" s="202">
        <f>SUM(E73,N73)</f>
        <v>19130</v>
      </c>
      <c r="E73" s="202">
        <f>SUM(F73,I73,J73,K73,L73,M73)</f>
        <v>19130</v>
      </c>
      <c r="F73" s="202">
        <f>SUM(G73,H73)</f>
        <v>19130</v>
      </c>
      <c r="G73" s="202">
        <v>19130</v>
      </c>
      <c r="H73" s="202" t="s">
        <v>227</v>
      </c>
      <c r="I73" s="202"/>
      <c r="J73" s="202" t="s">
        <v>227</v>
      </c>
      <c r="K73" s="202"/>
      <c r="L73" s="202"/>
      <c r="M73" s="202"/>
      <c r="N73" s="203">
        <f>SUM(O73,R73)</f>
        <v>0</v>
      </c>
      <c r="O73" s="242"/>
      <c r="P73" s="242"/>
      <c r="Q73" s="242"/>
      <c r="R73" s="202"/>
      <c r="S73" s="15"/>
    </row>
    <row r="74" spans="1:19" ht="108.75" customHeight="1">
      <c r="A74" s="217"/>
      <c r="B74" s="217">
        <v>85212</v>
      </c>
      <c r="C74" s="228" t="s">
        <v>119</v>
      </c>
      <c r="D74" s="202">
        <f t="shared" si="19"/>
        <v>5683164</v>
      </c>
      <c r="E74" s="202">
        <f t="shared" si="20"/>
        <v>5683164</v>
      </c>
      <c r="F74" s="202">
        <f aca="true" t="shared" si="23" ref="F74:F99">SUM(G74,H74)</f>
        <v>194896</v>
      </c>
      <c r="G74" s="202">
        <v>138587</v>
      </c>
      <c r="H74" s="202">
        <v>56309</v>
      </c>
      <c r="I74" s="202"/>
      <c r="J74" s="202">
        <v>5488268</v>
      </c>
      <c r="K74" s="202"/>
      <c r="L74" s="202" t="s">
        <v>227</v>
      </c>
      <c r="M74" s="202"/>
      <c r="N74" s="203">
        <f>SUM(O74,R74)</f>
        <v>0</v>
      </c>
      <c r="O74" s="242"/>
      <c r="P74" s="242"/>
      <c r="Q74" s="242"/>
      <c r="R74" s="202"/>
      <c r="S74" s="15"/>
    </row>
    <row r="75" spans="1:19" ht="15" customHeight="1">
      <c r="A75" s="218"/>
      <c r="B75" s="218"/>
      <c r="C75" s="234" t="s">
        <v>144</v>
      </c>
      <c r="D75" s="205">
        <f t="shared" si="19"/>
        <v>5333664</v>
      </c>
      <c r="E75" s="205">
        <f t="shared" si="20"/>
        <v>5333664</v>
      </c>
      <c r="F75" s="205">
        <f t="shared" si="23"/>
        <v>170396</v>
      </c>
      <c r="G75" s="205">
        <v>138587</v>
      </c>
      <c r="H75" s="205">
        <v>31809</v>
      </c>
      <c r="I75" s="205"/>
      <c r="J75" s="205">
        <v>5163268</v>
      </c>
      <c r="K75" s="202"/>
      <c r="L75" s="202"/>
      <c r="M75" s="202"/>
      <c r="N75" s="203"/>
      <c r="O75" s="242"/>
      <c r="P75" s="242"/>
      <c r="Q75" s="242"/>
      <c r="R75" s="202"/>
      <c r="S75" s="15"/>
    </row>
    <row r="76" spans="1:19" ht="185.25">
      <c r="A76" s="217"/>
      <c r="B76" s="217">
        <v>85213</v>
      </c>
      <c r="C76" s="228" t="s">
        <v>274</v>
      </c>
      <c r="D76" s="202">
        <f aca="true" t="shared" si="24" ref="D76:D89">SUM(E76,N76)</f>
        <v>31369</v>
      </c>
      <c r="E76" s="202">
        <f t="shared" si="20"/>
        <v>31369</v>
      </c>
      <c r="F76" s="202">
        <f t="shared" si="23"/>
        <v>31369</v>
      </c>
      <c r="G76" s="202">
        <v>31369</v>
      </c>
      <c r="H76" s="202" t="s">
        <v>227</v>
      </c>
      <c r="I76" s="202"/>
      <c r="J76" s="202" t="s">
        <v>227</v>
      </c>
      <c r="K76" s="202"/>
      <c r="L76" s="202"/>
      <c r="M76" s="202"/>
      <c r="N76" s="203">
        <f>SUM(O76,R76)</f>
        <v>0</v>
      </c>
      <c r="O76" s="242"/>
      <c r="P76" s="242"/>
      <c r="Q76" s="242"/>
      <c r="R76" s="202"/>
      <c r="S76" s="15"/>
    </row>
    <row r="77" spans="1:19" ht="15.75" customHeight="1">
      <c r="A77" s="218"/>
      <c r="B77" s="218"/>
      <c r="C77" s="234" t="s">
        <v>144</v>
      </c>
      <c r="D77" s="205">
        <f t="shared" si="24"/>
        <v>31369</v>
      </c>
      <c r="E77" s="205">
        <f>SUM(F77,I77,J77,K77,L77,M77)</f>
        <v>31369</v>
      </c>
      <c r="F77" s="205">
        <f>SUM(G77,H77)</f>
        <v>31369</v>
      </c>
      <c r="G77" s="205">
        <v>31369</v>
      </c>
      <c r="H77" s="205" t="s">
        <v>227</v>
      </c>
      <c r="I77" s="205"/>
      <c r="J77" s="205" t="s">
        <v>227</v>
      </c>
      <c r="K77" s="202"/>
      <c r="L77" s="202"/>
      <c r="M77" s="202"/>
      <c r="N77" s="203"/>
      <c r="O77" s="242"/>
      <c r="P77" s="242"/>
      <c r="Q77" s="242"/>
      <c r="R77" s="202"/>
      <c r="S77" s="15"/>
    </row>
    <row r="78" spans="1:19" ht="59.25" customHeight="1">
      <c r="A78" s="217"/>
      <c r="B78" s="217">
        <v>85214</v>
      </c>
      <c r="C78" s="228" t="s">
        <v>286</v>
      </c>
      <c r="D78" s="202">
        <f t="shared" si="24"/>
        <v>674828</v>
      </c>
      <c r="E78" s="202">
        <f t="shared" si="20"/>
        <v>674828</v>
      </c>
      <c r="F78" s="202">
        <f t="shared" si="23"/>
        <v>250450</v>
      </c>
      <c r="G78" s="202">
        <v>1650</v>
      </c>
      <c r="H78" s="202">
        <v>248800</v>
      </c>
      <c r="I78" s="202"/>
      <c r="J78" s="202">
        <v>424378</v>
      </c>
      <c r="K78" s="202"/>
      <c r="L78" s="202"/>
      <c r="M78" s="202"/>
      <c r="N78" s="203">
        <f>SUM(O78,R78)</f>
        <v>0</v>
      </c>
      <c r="O78" s="242"/>
      <c r="P78" s="242"/>
      <c r="Q78" s="242"/>
      <c r="R78" s="202"/>
      <c r="S78" s="15"/>
    </row>
    <row r="79" spans="1:19" ht="16.5" customHeight="1">
      <c r="A79" s="218"/>
      <c r="B79" s="218"/>
      <c r="C79" s="234" t="s">
        <v>144</v>
      </c>
      <c r="D79" s="205">
        <f>SUM(E79,N79)</f>
        <v>91011</v>
      </c>
      <c r="E79" s="205">
        <f t="shared" si="20"/>
        <v>91011</v>
      </c>
      <c r="F79" s="205">
        <f t="shared" si="23"/>
        <v>0</v>
      </c>
      <c r="G79" s="205"/>
      <c r="H79" s="205"/>
      <c r="I79" s="205"/>
      <c r="J79" s="205">
        <v>91011</v>
      </c>
      <c r="K79" s="202"/>
      <c r="L79" s="202"/>
      <c r="M79" s="202"/>
      <c r="N79" s="203"/>
      <c r="O79" s="242"/>
      <c r="P79" s="242"/>
      <c r="Q79" s="242"/>
      <c r="R79" s="202"/>
      <c r="S79" s="15"/>
    </row>
    <row r="80" spans="1:19" ht="19.5">
      <c r="A80" s="217"/>
      <c r="B80" s="217">
        <v>85215</v>
      </c>
      <c r="C80" s="228" t="s">
        <v>156</v>
      </c>
      <c r="D80" s="202">
        <f t="shared" si="24"/>
        <v>1030000</v>
      </c>
      <c r="E80" s="202">
        <f t="shared" si="20"/>
        <v>1030000</v>
      </c>
      <c r="F80" s="202">
        <f t="shared" si="23"/>
        <v>0</v>
      </c>
      <c r="G80" s="202"/>
      <c r="H80" s="202" t="s">
        <v>227</v>
      </c>
      <c r="I80" s="202"/>
      <c r="J80" s="202">
        <v>1030000</v>
      </c>
      <c r="K80" s="202"/>
      <c r="L80" s="202"/>
      <c r="M80" s="202"/>
      <c r="N80" s="203">
        <f>SUM(O80,R80)</f>
        <v>0</v>
      </c>
      <c r="O80" s="242"/>
      <c r="P80" s="242"/>
      <c r="Q80" s="242"/>
      <c r="R80" s="202"/>
      <c r="S80" s="15"/>
    </row>
    <row r="81" spans="1:19" ht="12.75">
      <c r="A81" s="217"/>
      <c r="B81" s="217">
        <v>85216</v>
      </c>
      <c r="C81" s="228" t="s">
        <v>120</v>
      </c>
      <c r="D81" s="202">
        <f t="shared" si="24"/>
        <v>325952</v>
      </c>
      <c r="E81" s="202">
        <f aca="true" t="shared" si="25" ref="E81:E89">SUM(F81,I81,J81,K81,L81,M81)</f>
        <v>325952</v>
      </c>
      <c r="F81" s="202">
        <f t="shared" si="23"/>
        <v>0</v>
      </c>
      <c r="G81" s="202"/>
      <c r="H81" s="202"/>
      <c r="I81" s="202"/>
      <c r="J81" s="202">
        <v>325952</v>
      </c>
      <c r="K81" s="202"/>
      <c r="L81" s="202"/>
      <c r="M81" s="202"/>
      <c r="N81" s="203">
        <f>SUM(O81,R81)</f>
        <v>0</v>
      </c>
      <c r="O81" s="242"/>
      <c r="P81" s="242"/>
      <c r="Q81" s="242"/>
      <c r="R81" s="202"/>
      <c r="S81" s="15"/>
    </row>
    <row r="82" spans="1:19" ht="12.75">
      <c r="A82" s="217"/>
      <c r="B82" s="217"/>
      <c r="C82" s="234" t="s">
        <v>144</v>
      </c>
      <c r="D82" s="205">
        <f>SUM(E82,N82)</f>
        <v>325952</v>
      </c>
      <c r="E82" s="205">
        <f t="shared" si="25"/>
        <v>325952</v>
      </c>
      <c r="F82" s="205">
        <f t="shared" si="23"/>
        <v>0</v>
      </c>
      <c r="G82" s="205"/>
      <c r="H82" s="205"/>
      <c r="I82" s="205"/>
      <c r="J82" s="205">
        <v>325952</v>
      </c>
      <c r="K82" s="202"/>
      <c r="L82" s="202"/>
      <c r="M82" s="202"/>
      <c r="N82" s="203"/>
      <c r="O82" s="242"/>
      <c r="P82" s="242"/>
      <c r="Q82" s="242"/>
      <c r="R82" s="202"/>
      <c r="S82" s="15"/>
    </row>
    <row r="83" spans="1:19" ht="29.25">
      <c r="A83" s="217"/>
      <c r="B83" s="217">
        <v>85219</v>
      </c>
      <c r="C83" s="228" t="s">
        <v>112</v>
      </c>
      <c r="D83" s="202">
        <f t="shared" si="24"/>
        <v>1357996</v>
      </c>
      <c r="E83" s="202">
        <f t="shared" si="25"/>
        <v>1357996</v>
      </c>
      <c r="F83" s="202">
        <f t="shared" si="23"/>
        <v>1357996</v>
      </c>
      <c r="G83" s="202">
        <v>1191712</v>
      </c>
      <c r="H83" s="202">
        <v>166284</v>
      </c>
      <c r="I83" s="202"/>
      <c r="J83" s="202"/>
      <c r="K83" s="202"/>
      <c r="L83" s="202"/>
      <c r="M83" s="202"/>
      <c r="N83" s="203">
        <f>SUM(O83,R83)</f>
        <v>0</v>
      </c>
      <c r="O83" s="242"/>
      <c r="P83" s="242"/>
      <c r="Q83" s="242"/>
      <c r="R83" s="202"/>
      <c r="S83" s="15"/>
    </row>
    <row r="84" spans="1:19" ht="12.75">
      <c r="A84" s="217"/>
      <c r="B84" s="217"/>
      <c r="C84" s="234" t="s">
        <v>144</v>
      </c>
      <c r="D84" s="205">
        <f>SUM(E84,N84)</f>
        <v>659063</v>
      </c>
      <c r="E84" s="205">
        <f t="shared" si="25"/>
        <v>659063</v>
      </c>
      <c r="F84" s="202">
        <f t="shared" si="23"/>
        <v>659063</v>
      </c>
      <c r="G84" s="205">
        <v>614744</v>
      </c>
      <c r="H84" s="205">
        <v>44319</v>
      </c>
      <c r="I84" s="202"/>
      <c r="J84" s="202"/>
      <c r="K84" s="202"/>
      <c r="L84" s="202"/>
      <c r="M84" s="202"/>
      <c r="N84" s="203"/>
      <c r="O84" s="242"/>
      <c r="P84" s="242"/>
      <c r="Q84" s="242"/>
      <c r="R84" s="202"/>
      <c r="S84" s="15"/>
    </row>
    <row r="85" spans="1:19" ht="48.75">
      <c r="A85" s="217"/>
      <c r="B85" s="217">
        <v>85228</v>
      </c>
      <c r="C85" s="228" t="s">
        <v>157</v>
      </c>
      <c r="D85" s="202">
        <f t="shared" si="24"/>
        <v>387372</v>
      </c>
      <c r="E85" s="202">
        <f t="shared" si="25"/>
        <v>387372</v>
      </c>
      <c r="F85" s="202">
        <f t="shared" si="23"/>
        <v>387372</v>
      </c>
      <c r="G85" s="202">
        <v>164319</v>
      </c>
      <c r="H85" s="202">
        <v>223053</v>
      </c>
      <c r="I85" s="202"/>
      <c r="J85" s="202"/>
      <c r="K85" s="202"/>
      <c r="L85" s="202"/>
      <c r="M85" s="202"/>
      <c r="N85" s="203">
        <f>SUM(O85,R85)</f>
        <v>0</v>
      </c>
      <c r="O85" s="242"/>
      <c r="P85" s="242"/>
      <c r="Q85" s="242"/>
      <c r="R85" s="202"/>
      <c r="S85" s="15"/>
    </row>
    <row r="86" spans="1:19" ht="12.75">
      <c r="A86" s="217"/>
      <c r="B86" s="217"/>
      <c r="C86" s="234" t="s">
        <v>144</v>
      </c>
      <c r="D86" s="205">
        <f>SUM(E86,N86)</f>
        <v>111654</v>
      </c>
      <c r="E86" s="205">
        <f>SUM(F86,I86,J86,K86,L86,M86)</f>
        <v>111654</v>
      </c>
      <c r="F86" s="202">
        <f>SUM(G86,H86)</f>
        <v>111654</v>
      </c>
      <c r="G86" s="205">
        <v>95101</v>
      </c>
      <c r="H86" s="205">
        <v>16553</v>
      </c>
      <c r="I86" s="202"/>
      <c r="J86" s="202"/>
      <c r="K86" s="202"/>
      <c r="L86" s="202"/>
      <c r="M86" s="202"/>
      <c r="N86" s="203"/>
      <c r="O86" s="242"/>
      <c r="P86" s="242"/>
      <c r="Q86" s="242"/>
      <c r="R86" s="202"/>
      <c r="S86" s="15"/>
    </row>
    <row r="87" spans="1:19" ht="19.5">
      <c r="A87" s="217"/>
      <c r="B87" s="217">
        <v>85295</v>
      </c>
      <c r="C87" s="228" t="s">
        <v>57</v>
      </c>
      <c r="D87" s="202">
        <f t="shared" si="24"/>
        <v>17170</v>
      </c>
      <c r="E87" s="202">
        <f t="shared" si="25"/>
        <v>17170</v>
      </c>
      <c r="F87" s="202">
        <f t="shared" si="23"/>
        <v>0</v>
      </c>
      <c r="G87" s="202" t="s">
        <v>227</v>
      </c>
      <c r="H87" s="202" t="s">
        <v>227</v>
      </c>
      <c r="I87" s="202"/>
      <c r="J87" s="202">
        <v>17170</v>
      </c>
      <c r="K87" s="202"/>
      <c r="L87" s="202"/>
      <c r="M87" s="202"/>
      <c r="N87" s="203">
        <f>SUM(O87,R87)</f>
        <v>0</v>
      </c>
      <c r="O87" s="242"/>
      <c r="P87" s="242"/>
      <c r="Q87" s="242"/>
      <c r="R87" s="202"/>
      <c r="S87" s="15"/>
    </row>
    <row r="88" spans="1:19" ht="45">
      <c r="A88" s="216">
        <v>853</v>
      </c>
      <c r="B88" s="216"/>
      <c r="C88" s="232" t="s">
        <v>447</v>
      </c>
      <c r="D88" s="203">
        <f t="shared" si="24"/>
        <v>162917</v>
      </c>
      <c r="E88" s="203">
        <f t="shared" si="25"/>
        <v>162917</v>
      </c>
      <c r="F88" s="203">
        <f>SUM(G88,H88)</f>
        <v>162317</v>
      </c>
      <c r="G88" s="203">
        <f aca="true" t="shared" si="26" ref="G88:M90">SUM(G89)</f>
        <v>117673</v>
      </c>
      <c r="H88" s="203">
        <f t="shared" si="26"/>
        <v>44644</v>
      </c>
      <c r="I88" s="203">
        <f t="shared" si="26"/>
        <v>0</v>
      </c>
      <c r="J88" s="203">
        <f t="shared" si="26"/>
        <v>600</v>
      </c>
      <c r="K88" s="203">
        <f t="shared" si="26"/>
        <v>0</v>
      </c>
      <c r="L88" s="203">
        <f t="shared" si="26"/>
        <v>0</v>
      </c>
      <c r="M88" s="203">
        <f t="shared" si="26"/>
        <v>0</v>
      </c>
      <c r="N88" s="203">
        <f>SUM(N89)</f>
        <v>0</v>
      </c>
      <c r="O88" s="241">
        <f>SUM(O89)</f>
        <v>0</v>
      </c>
      <c r="P88" s="241"/>
      <c r="Q88" s="241"/>
      <c r="R88" s="203">
        <f>SUM(R89)</f>
        <v>0</v>
      </c>
      <c r="S88" s="15"/>
    </row>
    <row r="89" spans="1:19" ht="12.75">
      <c r="A89" s="217"/>
      <c r="B89" s="217">
        <v>85305</v>
      </c>
      <c r="C89" s="228" t="s">
        <v>282</v>
      </c>
      <c r="D89" s="202">
        <f t="shared" si="24"/>
        <v>162917</v>
      </c>
      <c r="E89" s="202">
        <f t="shared" si="25"/>
        <v>162917</v>
      </c>
      <c r="F89" s="202">
        <f t="shared" si="23"/>
        <v>162317</v>
      </c>
      <c r="G89" s="202">
        <v>117673</v>
      </c>
      <c r="H89" s="202">
        <v>44644</v>
      </c>
      <c r="I89" s="202" t="s">
        <v>227</v>
      </c>
      <c r="J89" s="202">
        <v>600</v>
      </c>
      <c r="K89" s="202"/>
      <c r="L89" s="202"/>
      <c r="M89" s="202"/>
      <c r="N89" s="202">
        <f>SUM(O89,R89)</f>
        <v>0</v>
      </c>
      <c r="O89" s="242" t="s">
        <v>227</v>
      </c>
      <c r="P89" s="242"/>
      <c r="Q89" s="242"/>
      <c r="R89" s="202"/>
      <c r="S89" s="15"/>
    </row>
    <row r="90" spans="1:19" ht="27">
      <c r="A90" s="216">
        <v>854</v>
      </c>
      <c r="B90" s="216"/>
      <c r="C90" s="232" t="s">
        <v>390</v>
      </c>
      <c r="D90" s="203">
        <f>SUM(E90,N90)</f>
        <v>436013</v>
      </c>
      <c r="E90" s="203">
        <f>SUM(F90,I90,J90,K90,L90,M90)</f>
        <v>436013</v>
      </c>
      <c r="F90" s="203">
        <f>SUM(G90,H90)</f>
        <v>436013</v>
      </c>
      <c r="G90" s="203">
        <f t="shared" si="26"/>
        <v>436013</v>
      </c>
      <c r="H90" s="203">
        <f t="shared" si="26"/>
        <v>0</v>
      </c>
      <c r="I90" s="203">
        <f t="shared" si="26"/>
        <v>0</v>
      </c>
      <c r="J90" s="203">
        <f t="shared" si="26"/>
        <v>0</v>
      </c>
      <c r="K90" s="203">
        <f t="shared" si="26"/>
        <v>0</v>
      </c>
      <c r="L90" s="203">
        <f t="shared" si="26"/>
        <v>0</v>
      </c>
      <c r="M90" s="203">
        <f t="shared" si="26"/>
        <v>0</v>
      </c>
      <c r="N90" s="203">
        <f>SUM(N91)</f>
        <v>0</v>
      </c>
      <c r="O90" s="241">
        <f>SUM(O91)</f>
        <v>0</v>
      </c>
      <c r="P90" s="241"/>
      <c r="Q90" s="241"/>
      <c r="R90" s="203">
        <f>SUM(R91)</f>
        <v>0</v>
      </c>
      <c r="S90" s="15"/>
    </row>
    <row r="91" spans="1:19" ht="19.5">
      <c r="A91" s="217"/>
      <c r="B91" s="217">
        <v>85401</v>
      </c>
      <c r="C91" s="228" t="s">
        <v>448</v>
      </c>
      <c r="D91" s="202">
        <f>SUM(E91,N91)</f>
        <v>436013</v>
      </c>
      <c r="E91" s="202">
        <f>SUM(F91,I91,J91,K91,L91,M91)</f>
        <v>436013</v>
      </c>
      <c r="F91" s="202">
        <f t="shared" si="23"/>
        <v>436013</v>
      </c>
      <c r="G91" s="202">
        <v>436013</v>
      </c>
      <c r="H91" s="202"/>
      <c r="I91" s="202" t="s">
        <v>227</v>
      </c>
      <c r="J91" s="202"/>
      <c r="K91" s="202"/>
      <c r="L91" s="202"/>
      <c r="M91" s="202"/>
      <c r="N91" s="202">
        <f>SUM(O91,R91)</f>
        <v>0</v>
      </c>
      <c r="O91" s="242" t="s">
        <v>227</v>
      </c>
      <c r="P91" s="242"/>
      <c r="Q91" s="242"/>
      <c r="R91" s="202"/>
      <c r="S91" s="15"/>
    </row>
    <row r="92" spans="1:19" ht="36">
      <c r="A92" s="213">
        <v>900</v>
      </c>
      <c r="B92" s="213"/>
      <c r="C92" s="227" t="s">
        <v>158</v>
      </c>
      <c r="D92" s="203">
        <f aca="true" t="shared" si="27" ref="D92:D108">SUM(E92,N92)</f>
        <v>5809590</v>
      </c>
      <c r="E92" s="203">
        <f aca="true" t="shared" si="28" ref="E92:E108">SUM(F92,I92,J92,K92,L92,M92)</f>
        <v>3739590</v>
      </c>
      <c r="F92" s="202">
        <f t="shared" si="23"/>
        <v>2689590</v>
      </c>
      <c r="G92" s="203">
        <f>SUM(G93:G99)</f>
        <v>0</v>
      </c>
      <c r="H92" s="203">
        <f>SUM(H93:H99)</f>
        <v>2689590</v>
      </c>
      <c r="I92" s="203">
        <f>SUM(I93:I99)</f>
        <v>1050000</v>
      </c>
      <c r="J92" s="203">
        <f>SUM(J93)</f>
        <v>0</v>
      </c>
      <c r="K92" s="203">
        <f>SUM(K93)</f>
        <v>0</v>
      </c>
      <c r="L92" s="203">
        <f>SUM(L93)</f>
        <v>0</v>
      </c>
      <c r="M92" s="203">
        <f>SUM(M93)</f>
        <v>0</v>
      </c>
      <c r="N92" s="203">
        <f>SUM(N93:N99)</f>
        <v>2070000</v>
      </c>
      <c r="O92" s="241">
        <f>SUM(O93:O99)</f>
        <v>2070000</v>
      </c>
      <c r="P92" s="241"/>
      <c r="Q92" s="241"/>
      <c r="R92" s="203">
        <f>SUM(R93)</f>
        <v>0</v>
      </c>
      <c r="S92" s="15"/>
    </row>
    <row r="93" spans="1:19" s="17" customFormat="1" ht="29.25">
      <c r="A93" s="217"/>
      <c r="B93" s="217">
        <v>90001</v>
      </c>
      <c r="C93" s="235" t="s">
        <v>159</v>
      </c>
      <c r="D93" s="202">
        <f t="shared" si="27"/>
        <v>2631000</v>
      </c>
      <c r="E93" s="202">
        <f t="shared" si="28"/>
        <v>701000</v>
      </c>
      <c r="F93" s="202">
        <f t="shared" si="23"/>
        <v>701000</v>
      </c>
      <c r="G93" s="202"/>
      <c r="H93" s="202">
        <v>701000</v>
      </c>
      <c r="I93" s="202"/>
      <c r="J93" s="202"/>
      <c r="K93" s="202"/>
      <c r="L93" s="202"/>
      <c r="M93" s="202"/>
      <c r="N93" s="202">
        <f>SUM(O93,R93)</f>
        <v>1930000</v>
      </c>
      <c r="O93" s="242">
        <v>1930000</v>
      </c>
      <c r="P93" s="242"/>
      <c r="Q93" s="242"/>
      <c r="R93" s="202"/>
      <c r="S93" s="15"/>
    </row>
    <row r="94" spans="1:19" s="17" customFormat="1" ht="19.5">
      <c r="A94" s="217"/>
      <c r="B94" s="217">
        <v>90002</v>
      </c>
      <c r="C94" s="236" t="s">
        <v>391</v>
      </c>
      <c r="D94" s="202">
        <f t="shared" si="27"/>
        <v>24400</v>
      </c>
      <c r="E94" s="202">
        <f t="shared" si="28"/>
        <v>24400</v>
      </c>
      <c r="F94" s="202">
        <f t="shared" si="23"/>
        <v>24400</v>
      </c>
      <c r="G94" s="202"/>
      <c r="H94" s="202">
        <v>24400</v>
      </c>
      <c r="I94" s="202"/>
      <c r="J94" s="202"/>
      <c r="K94" s="202"/>
      <c r="L94" s="202"/>
      <c r="M94" s="202"/>
      <c r="N94" s="202"/>
      <c r="O94" s="242"/>
      <c r="P94" s="242"/>
      <c r="Q94" s="242"/>
      <c r="R94" s="202"/>
      <c r="S94" s="15"/>
    </row>
    <row r="95" spans="1:19" s="17" customFormat="1" ht="19.5">
      <c r="A95" s="217"/>
      <c r="B95" s="217">
        <v>90003</v>
      </c>
      <c r="C95" s="235" t="s">
        <v>392</v>
      </c>
      <c r="D95" s="202">
        <f t="shared" si="27"/>
        <v>367216</v>
      </c>
      <c r="E95" s="202">
        <f t="shared" si="28"/>
        <v>367216</v>
      </c>
      <c r="F95" s="202">
        <f t="shared" si="23"/>
        <v>367216</v>
      </c>
      <c r="G95" s="202"/>
      <c r="H95" s="202">
        <f>364000+3216</f>
        <v>367216</v>
      </c>
      <c r="I95" s="202"/>
      <c r="J95" s="202"/>
      <c r="K95" s="202"/>
      <c r="L95" s="202"/>
      <c r="M95" s="202"/>
      <c r="N95" s="202"/>
      <c r="O95" s="242"/>
      <c r="P95" s="242"/>
      <c r="Q95" s="242"/>
      <c r="R95" s="202"/>
      <c r="S95" s="15"/>
    </row>
    <row r="96" spans="1:19" s="17" customFormat="1" ht="39">
      <c r="A96" s="217"/>
      <c r="B96" s="217">
        <v>90004</v>
      </c>
      <c r="C96" s="235" t="s">
        <v>393</v>
      </c>
      <c r="D96" s="202">
        <f t="shared" si="27"/>
        <v>536200</v>
      </c>
      <c r="E96" s="202">
        <f t="shared" si="28"/>
        <v>536200</v>
      </c>
      <c r="F96" s="202">
        <f t="shared" si="23"/>
        <v>536200</v>
      </c>
      <c r="G96" s="202"/>
      <c r="H96" s="202">
        <v>536200</v>
      </c>
      <c r="I96" s="202"/>
      <c r="J96" s="202"/>
      <c r="K96" s="202"/>
      <c r="L96" s="202"/>
      <c r="M96" s="202"/>
      <c r="N96" s="202"/>
      <c r="O96" s="242"/>
      <c r="P96" s="242"/>
      <c r="Q96" s="242"/>
      <c r="R96" s="202"/>
      <c r="S96" s="15"/>
    </row>
    <row r="97" spans="1:19" s="17" customFormat="1" ht="20.25" customHeight="1">
      <c r="A97" s="217"/>
      <c r="B97" s="217">
        <v>90015</v>
      </c>
      <c r="C97" s="235" t="s">
        <v>160</v>
      </c>
      <c r="D97" s="202">
        <f t="shared" si="27"/>
        <v>1143284</v>
      </c>
      <c r="E97" s="202">
        <f t="shared" si="28"/>
        <v>1003284</v>
      </c>
      <c r="F97" s="202">
        <f t="shared" si="23"/>
        <v>1003284</v>
      </c>
      <c r="G97" s="202"/>
      <c r="H97" s="202">
        <f>1006500-3216</f>
        <v>1003284</v>
      </c>
      <c r="I97" s="202"/>
      <c r="J97" s="202"/>
      <c r="K97" s="202"/>
      <c r="L97" s="202"/>
      <c r="M97" s="202"/>
      <c r="N97" s="202">
        <f>SUM(O97,R97)</f>
        <v>140000</v>
      </c>
      <c r="O97" s="242">
        <v>140000</v>
      </c>
      <c r="P97" s="242"/>
      <c r="Q97" s="242"/>
      <c r="R97" s="202"/>
      <c r="S97" s="15"/>
    </row>
    <row r="98" spans="1:19" s="17" customFormat="1" ht="28.5" customHeight="1">
      <c r="A98" s="217"/>
      <c r="B98" s="217">
        <v>90017</v>
      </c>
      <c r="C98" s="236" t="s">
        <v>394</v>
      </c>
      <c r="D98" s="202">
        <f t="shared" si="27"/>
        <v>1050000</v>
      </c>
      <c r="E98" s="202">
        <f t="shared" si="28"/>
        <v>1050000</v>
      </c>
      <c r="F98" s="202">
        <f t="shared" si="23"/>
        <v>0</v>
      </c>
      <c r="G98" s="202"/>
      <c r="H98" s="202"/>
      <c r="I98" s="202">
        <f>950000+100000</f>
        <v>1050000</v>
      </c>
      <c r="J98" s="202"/>
      <c r="K98" s="202"/>
      <c r="L98" s="202"/>
      <c r="M98" s="202"/>
      <c r="N98" s="202"/>
      <c r="O98" s="242"/>
      <c r="P98" s="242"/>
      <c r="Q98" s="242"/>
      <c r="R98" s="202"/>
      <c r="S98" s="15"/>
    </row>
    <row r="99" spans="1:19" s="17" customFormat="1" ht="22.5" customHeight="1">
      <c r="A99" s="217"/>
      <c r="B99" s="217">
        <v>90095</v>
      </c>
      <c r="C99" s="236" t="s">
        <v>57</v>
      </c>
      <c r="D99" s="202">
        <f t="shared" si="27"/>
        <v>57490</v>
      </c>
      <c r="E99" s="202">
        <f t="shared" si="28"/>
        <v>57490</v>
      </c>
      <c r="F99" s="202">
        <f t="shared" si="23"/>
        <v>57490</v>
      </c>
      <c r="G99" s="202"/>
      <c r="H99" s="202">
        <v>57490</v>
      </c>
      <c r="I99" s="202"/>
      <c r="J99" s="202"/>
      <c r="K99" s="202"/>
      <c r="L99" s="202"/>
      <c r="M99" s="202"/>
      <c r="N99" s="202">
        <f>SUM(O99,R99)</f>
        <v>0</v>
      </c>
      <c r="O99" s="242" t="s">
        <v>227</v>
      </c>
      <c r="P99" s="242"/>
      <c r="Q99" s="242"/>
      <c r="R99" s="202"/>
      <c r="S99" s="15"/>
    </row>
    <row r="100" spans="1:19" ht="36">
      <c r="A100" s="213">
        <v>921</v>
      </c>
      <c r="B100" s="213"/>
      <c r="C100" s="227" t="s">
        <v>161</v>
      </c>
      <c r="D100" s="203">
        <f t="shared" si="27"/>
        <v>1764150</v>
      </c>
      <c r="E100" s="203">
        <f t="shared" si="28"/>
        <v>1764150</v>
      </c>
      <c r="F100" s="203">
        <f aca="true" t="shared" si="29" ref="F100:F108">SUM(G100,H100)</f>
        <v>87000</v>
      </c>
      <c r="G100" s="203">
        <f>SUM(G101:G104)</f>
        <v>5000</v>
      </c>
      <c r="H100" s="203">
        <f>SUM(H101:H104)</f>
        <v>82000</v>
      </c>
      <c r="I100" s="203">
        <f>SUM(I101:I104)</f>
        <v>1677150</v>
      </c>
      <c r="J100" s="203">
        <f>SUM(J102)</f>
        <v>0</v>
      </c>
      <c r="K100" s="203">
        <f>SUM(K102)</f>
        <v>0</v>
      </c>
      <c r="L100" s="203">
        <f>SUM(L102)</f>
        <v>0</v>
      </c>
      <c r="M100" s="203">
        <f>SUM(M102)</f>
        <v>0</v>
      </c>
      <c r="N100" s="203">
        <f>SUM(N101:N107)</f>
        <v>0</v>
      </c>
      <c r="O100" s="241">
        <f>SUM(O101:O103)</f>
        <v>0</v>
      </c>
      <c r="P100" s="241"/>
      <c r="Q100" s="241"/>
      <c r="R100" s="203">
        <f>SUM(R102)</f>
        <v>0</v>
      </c>
      <c r="S100" s="15"/>
    </row>
    <row r="101" spans="1:19" ht="29.25">
      <c r="A101" s="213"/>
      <c r="B101" s="214">
        <v>92108</v>
      </c>
      <c r="C101" s="236" t="s">
        <v>379</v>
      </c>
      <c r="D101" s="202">
        <f>SUM(E101,N101)</f>
        <v>50000</v>
      </c>
      <c r="E101" s="202">
        <f>SUM(F101,I101,J101,K101,L101,M101)</f>
        <v>50000</v>
      </c>
      <c r="F101" s="204">
        <f t="shared" si="29"/>
        <v>0</v>
      </c>
      <c r="G101" s="202"/>
      <c r="H101" s="202"/>
      <c r="I101" s="202">
        <v>50000</v>
      </c>
      <c r="J101" s="202"/>
      <c r="K101" s="202"/>
      <c r="L101" s="202"/>
      <c r="M101" s="202"/>
      <c r="N101" s="202">
        <f>SUM(O101,R101)</f>
        <v>0</v>
      </c>
      <c r="O101" s="242" t="s">
        <v>227</v>
      </c>
      <c r="P101" s="242"/>
      <c r="Q101" s="242"/>
      <c r="R101" s="202"/>
      <c r="S101" s="15"/>
    </row>
    <row r="102" spans="1:19" s="17" customFormat="1" ht="29.25">
      <c r="A102" s="217"/>
      <c r="B102" s="217">
        <v>92109</v>
      </c>
      <c r="C102" s="236" t="s">
        <v>162</v>
      </c>
      <c r="D102" s="202">
        <f t="shared" si="27"/>
        <v>954950</v>
      </c>
      <c r="E102" s="202">
        <f t="shared" si="28"/>
        <v>954950</v>
      </c>
      <c r="F102" s="204">
        <f t="shared" si="29"/>
        <v>0</v>
      </c>
      <c r="G102" s="202"/>
      <c r="H102" s="202"/>
      <c r="I102" s="202">
        <v>954950</v>
      </c>
      <c r="J102" s="202"/>
      <c r="K102" s="202"/>
      <c r="L102" s="202"/>
      <c r="M102" s="202"/>
      <c r="N102" s="202">
        <f>SUM(O102,R102)</f>
        <v>0</v>
      </c>
      <c r="O102" s="242" t="s">
        <v>227</v>
      </c>
      <c r="P102" s="242"/>
      <c r="Q102" s="242"/>
      <c r="R102" s="202"/>
      <c r="S102" s="15"/>
    </row>
    <row r="103" spans="1:19" s="17" customFormat="1" ht="12.75">
      <c r="A103" s="217"/>
      <c r="B103" s="217">
        <v>92116</v>
      </c>
      <c r="C103" s="236" t="s">
        <v>395</v>
      </c>
      <c r="D103" s="202">
        <f t="shared" si="27"/>
        <v>662200</v>
      </c>
      <c r="E103" s="202">
        <f t="shared" si="28"/>
        <v>662200</v>
      </c>
      <c r="F103" s="204">
        <f t="shared" si="29"/>
        <v>0</v>
      </c>
      <c r="G103" s="202"/>
      <c r="H103" s="202"/>
      <c r="I103" s="202">
        <v>662200</v>
      </c>
      <c r="J103" s="202"/>
      <c r="K103" s="202"/>
      <c r="L103" s="202"/>
      <c r="M103" s="202"/>
      <c r="N103" s="202"/>
      <c r="O103" s="242"/>
      <c r="P103" s="242"/>
      <c r="Q103" s="242"/>
      <c r="R103" s="202"/>
      <c r="S103" s="15"/>
    </row>
    <row r="104" spans="1:19" s="17" customFormat="1" ht="19.5">
      <c r="A104" s="217"/>
      <c r="B104" s="217">
        <v>92195</v>
      </c>
      <c r="C104" s="236" t="s">
        <v>57</v>
      </c>
      <c r="D104" s="202">
        <f t="shared" si="27"/>
        <v>97000</v>
      </c>
      <c r="E104" s="202">
        <f t="shared" si="28"/>
        <v>97000</v>
      </c>
      <c r="F104" s="204">
        <f t="shared" si="29"/>
        <v>87000</v>
      </c>
      <c r="G104" s="202">
        <v>5000</v>
      </c>
      <c r="H104" s="202">
        <v>82000</v>
      </c>
      <c r="I104" s="202">
        <v>10000</v>
      </c>
      <c r="J104" s="202"/>
      <c r="K104" s="202"/>
      <c r="L104" s="202"/>
      <c r="M104" s="202"/>
      <c r="N104" s="202"/>
      <c r="O104" s="242"/>
      <c r="P104" s="242"/>
      <c r="Q104" s="242"/>
      <c r="R104" s="202"/>
      <c r="S104" s="15"/>
    </row>
    <row r="105" spans="1:19" ht="18" customHeight="1">
      <c r="A105" s="213">
        <v>926</v>
      </c>
      <c r="B105" s="213"/>
      <c r="C105" s="227" t="s">
        <v>163</v>
      </c>
      <c r="D105" s="203">
        <f t="shared" si="27"/>
        <v>2981700</v>
      </c>
      <c r="E105" s="203">
        <f t="shared" si="28"/>
        <v>2981700</v>
      </c>
      <c r="F105" s="203">
        <f t="shared" si="29"/>
        <v>2355500</v>
      </c>
      <c r="G105" s="203">
        <f>SUM(G106:G108)</f>
        <v>1309600</v>
      </c>
      <c r="H105" s="203">
        <f>SUM(H106:H108)</f>
        <v>1045900</v>
      </c>
      <c r="I105" s="203">
        <f>SUM(I106:I108)</f>
        <v>510000</v>
      </c>
      <c r="J105" s="203">
        <f>SUM(J106:J108)</f>
        <v>116200</v>
      </c>
      <c r="K105" s="203">
        <f>SUM(K106:K108)</f>
        <v>0</v>
      </c>
      <c r="L105" s="203">
        <f>SUM(L107)</f>
        <v>0</v>
      </c>
      <c r="M105" s="203">
        <f>SUM(M107)</f>
        <v>0</v>
      </c>
      <c r="N105" s="203">
        <f>SUM(O105,R105)</f>
        <v>0</v>
      </c>
      <c r="O105" s="241">
        <f>SUM(O106:O108)</f>
        <v>0</v>
      </c>
      <c r="P105" s="241"/>
      <c r="Q105" s="241"/>
      <c r="R105" s="203">
        <f>SUM(R107)</f>
        <v>0</v>
      </c>
      <c r="S105" s="15"/>
    </row>
    <row r="106" spans="1:19" ht="29.25">
      <c r="A106" s="213"/>
      <c r="B106" s="214">
        <v>92604</v>
      </c>
      <c r="C106" s="237" t="s">
        <v>396</v>
      </c>
      <c r="D106" s="202">
        <f>SUM(E106,N106)</f>
        <v>2357200</v>
      </c>
      <c r="E106" s="202">
        <f>SUM(F106,I106,J106,K106,L106,M106)</f>
        <v>2357200</v>
      </c>
      <c r="F106" s="204">
        <f t="shared" si="29"/>
        <v>2276200</v>
      </c>
      <c r="G106" s="202">
        <v>1309600</v>
      </c>
      <c r="H106" s="202">
        <v>966600</v>
      </c>
      <c r="I106" s="202" t="s">
        <v>227</v>
      </c>
      <c r="J106" s="202">
        <v>81000</v>
      </c>
      <c r="K106" s="202"/>
      <c r="L106" s="202"/>
      <c r="M106" s="202"/>
      <c r="N106" s="202">
        <f>SUM(O106,R106)</f>
        <v>0</v>
      </c>
      <c r="O106" s="242"/>
      <c r="P106" s="242"/>
      <c r="Q106" s="242"/>
      <c r="R106" s="202"/>
      <c r="S106" s="15"/>
    </row>
    <row r="107" spans="1:19" s="17" customFormat="1" ht="29.25">
      <c r="A107" s="217"/>
      <c r="B107" s="217">
        <v>92605</v>
      </c>
      <c r="C107" s="235" t="s">
        <v>397</v>
      </c>
      <c r="D107" s="202">
        <f t="shared" si="27"/>
        <v>510000</v>
      </c>
      <c r="E107" s="202">
        <f t="shared" si="28"/>
        <v>510000</v>
      </c>
      <c r="F107" s="204">
        <f t="shared" si="29"/>
        <v>0</v>
      </c>
      <c r="G107" s="202" t="s">
        <v>227</v>
      </c>
      <c r="H107" s="202" t="s">
        <v>227</v>
      </c>
      <c r="I107" s="202">
        <v>510000</v>
      </c>
      <c r="J107" s="202"/>
      <c r="K107" s="202"/>
      <c r="L107" s="202"/>
      <c r="M107" s="202"/>
      <c r="N107" s="202">
        <f>SUM(O107,R107)</f>
        <v>0</v>
      </c>
      <c r="O107" s="242"/>
      <c r="P107" s="242"/>
      <c r="Q107" s="242"/>
      <c r="R107" s="202"/>
      <c r="S107" s="15"/>
    </row>
    <row r="108" spans="1:19" s="17" customFormat="1" ht="19.5" customHeight="1">
      <c r="A108" s="217"/>
      <c r="B108" s="217">
        <v>92695</v>
      </c>
      <c r="C108" s="362" t="s">
        <v>57</v>
      </c>
      <c r="D108" s="202">
        <f t="shared" si="27"/>
        <v>114500</v>
      </c>
      <c r="E108" s="202">
        <f t="shared" si="28"/>
        <v>114500</v>
      </c>
      <c r="F108" s="204">
        <f t="shared" si="29"/>
        <v>79300</v>
      </c>
      <c r="G108" s="202"/>
      <c r="H108" s="202">
        <v>79300</v>
      </c>
      <c r="I108" s="202"/>
      <c r="J108" s="202">
        <v>35200</v>
      </c>
      <c r="K108" s="202"/>
      <c r="L108" s="202"/>
      <c r="M108" s="202"/>
      <c r="N108" s="202"/>
      <c r="O108" s="242"/>
      <c r="P108" s="242"/>
      <c r="Q108" s="242"/>
      <c r="R108" s="202"/>
      <c r="S108" s="15"/>
    </row>
    <row r="109" spans="1:19" ht="12.75">
      <c r="A109" s="225" t="s">
        <v>164</v>
      </c>
      <c r="B109" s="19"/>
      <c r="C109" s="225"/>
      <c r="D109" s="208">
        <f>SUM(D12,D14,D16,D18,D23,D27,D31,D38,D41,D49,D51,D53,D55,D63,D69,D88,D90,D92,D100,D105)</f>
        <v>92640595.87</v>
      </c>
      <c r="E109" s="208">
        <f aca="true" t="shared" si="30" ref="E109:R109">SUM(E12,E14,E16,E18,E23,E27,E31,E38,E41,E49,E51,E53,E55,E63,E69,E88,E90,E92,E100,E105)</f>
        <v>59636079.260000005</v>
      </c>
      <c r="F109" s="208">
        <f t="shared" si="30"/>
        <v>44611243.39</v>
      </c>
      <c r="G109" s="244">
        <f t="shared" si="30"/>
        <v>29014330</v>
      </c>
      <c r="H109" s="363">
        <f t="shared" si="30"/>
        <v>15596913.39</v>
      </c>
      <c r="I109" s="397">
        <f t="shared" si="30"/>
        <v>5498684</v>
      </c>
      <c r="J109" s="397">
        <f t="shared" si="30"/>
        <v>7892593</v>
      </c>
      <c r="K109" s="363">
        <f t="shared" si="30"/>
        <v>433558.87</v>
      </c>
      <c r="L109" s="397">
        <f t="shared" si="30"/>
        <v>0</v>
      </c>
      <c r="M109" s="397">
        <f t="shared" si="30"/>
        <v>1200000</v>
      </c>
      <c r="N109" s="363">
        <f t="shared" si="30"/>
        <v>33004516.61</v>
      </c>
      <c r="O109" s="244">
        <f t="shared" si="30"/>
        <v>33004516.61</v>
      </c>
      <c r="P109" s="244">
        <f t="shared" si="30"/>
        <v>19429526.61</v>
      </c>
      <c r="Q109" s="242">
        <f t="shared" si="30"/>
        <v>745000</v>
      </c>
      <c r="R109" s="204">
        <f t="shared" si="30"/>
        <v>0</v>
      </c>
      <c r="S109" s="209"/>
    </row>
    <row r="110" spans="1:18" ht="12.75">
      <c r="A110" s="226"/>
      <c r="B110" s="20"/>
      <c r="C110" s="226"/>
      <c r="D110" s="21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46"/>
      <c r="P110" s="246"/>
      <c r="Q110" s="246"/>
      <c r="R110" s="20"/>
    </row>
    <row r="111" spans="1:18" ht="12.75">
      <c r="A111" s="226"/>
      <c r="B111" s="20"/>
      <c r="C111" s="226"/>
      <c r="D111" s="21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46"/>
      <c r="P111" s="246"/>
      <c r="Q111" s="246"/>
      <c r="R111" s="20"/>
    </row>
    <row r="112" ht="12.75">
      <c r="G112" t="s">
        <v>227</v>
      </c>
    </row>
    <row r="114" ht="12.75">
      <c r="I114" t="s">
        <v>227</v>
      </c>
    </row>
  </sheetData>
  <mergeCells count="25">
    <mergeCell ref="A2:S2"/>
    <mergeCell ref="E5:S5"/>
    <mergeCell ref="O6:S6"/>
    <mergeCell ref="A5:A10"/>
    <mergeCell ref="B5:B10"/>
    <mergeCell ref="C5:C10"/>
    <mergeCell ref="D5:D10"/>
    <mergeCell ref="F7:F10"/>
    <mergeCell ref="I7:I10"/>
    <mergeCell ref="J7:J10"/>
    <mergeCell ref="N6:N10"/>
    <mergeCell ref="G7:H8"/>
    <mergeCell ref="R9:R10"/>
    <mergeCell ref="S9:S10"/>
    <mergeCell ref="O7:O10"/>
    <mergeCell ref="R7:S7"/>
    <mergeCell ref="K7:K10"/>
    <mergeCell ref="P9:P10"/>
    <mergeCell ref="P7:Q7"/>
    <mergeCell ref="E6:E10"/>
    <mergeCell ref="G9:G10"/>
    <mergeCell ref="H9:H10"/>
    <mergeCell ref="F6:M6"/>
    <mergeCell ref="L7:L10"/>
    <mergeCell ref="M7:M10"/>
  </mergeCells>
  <printOptions/>
  <pageMargins left="0.03937007874015748" right="0" top="1.3779527559055118" bottom="0.7874015748031497" header="0.5905511811023623" footer="0.15748031496062992"/>
  <pageSetup horizontalDpi="600" verticalDpi="600" orientation="landscape" paperSize="9" r:id="rId1"/>
  <headerFooter alignWithMargins="0">
    <oddHeader xml:space="preserve">&amp;RTabela nr 3           
do Uchwały  Nr LIII/415/2010
Rady Miejskiej w Łowiczu
z dnia 21 stycznia 2010 roku 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defaultGridColor="0" colorId="8" workbookViewId="0" topLeftCell="A1">
      <selection activeCell="K14" sqref="K1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3.125" style="1" customWidth="1"/>
    <col min="4" max="4" width="15.875" style="1" hidden="1" customWidth="1"/>
    <col min="5" max="5" width="14.875" style="1" customWidth="1"/>
    <col min="6" max="6" width="17.625" style="1" customWidth="1"/>
    <col min="7" max="9" width="15.75390625" style="0" customWidth="1"/>
    <col min="10" max="10" width="15.875" style="9" customWidth="1"/>
  </cols>
  <sheetData>
    <row r="1" spans="9:10" ht="12.75">
      <c r="I1" s="534"/>
      <c r="J1" s="534"/>
    </row>
    <row r="2" spans="1:10" ht="48.75" customHeight="1">
      <c r="A2" s="541" t="s">
        <v>400</v>
      </c>
      <c r="B2" s="541"/>
      <c r="C2" s="541"/>
      <c r="D2" s="541"/>
      <c r="E2" s="541"/>
      <c r="F2" s="541"/>
      <c r="G2" s="541"/>
      <c r="H2" s="541"/>
      <c r="I2" s="541"/>
      <c r="J2" s="247"/>
    </row>
    <row r="3" spans="9:10" ht="12.75">
      <c r="I3" s="248" t="s">
        <v>27</v>
      </c>
      <c r="J3" s="248"/>
    </row>
    <row r="4" spans="1:10" s="2" customFormat="1" ht="20.25" customHeight="1">
      <c r="A4" s="506" t="s">
        <v>2</v>
      </c>
      <c r="B4" s="542" t="s">
        <v>3</v>
      </c>
      <c r="C4" s="543"/>
      <c r="D4" s="511"/>
      <c r="E4" s="511" t="s">
        <v>401</v>
      </c>
      <c r="F4" s="536" t="s">
        <v>41</v>
      </c>
      <c r="G4" s="540"/>
      <c r="H4" s="540"/>
      <c r="I4" s="537"/>
      <c r="J4" s="37"/>
    </row>
    <row r="5" spans="1:10" s="2" customFormat="1" ht="20.25" customHeight="1">
      <c r="A5" s="506"/>
      <c r="B5" s="544"/>
      <c r="C5" s="545"/>
      <c r="D5" s="506"/>
      <c r="E5" s="511"/>
      <c r="F5" s="511" t="s">
        <v>46</v>
      </c>
      <c r="G5" s="536" t="s">
        <v>6</v>
      </c>
      <c r="H5" s="537"/>
      <c r="I5" s="538" t="s">
        <v>129</v>
      </c>
      <c r="J5" s="535"/>
    </row>
    <row r="6" spans="1:10" s="2" customFormat="1" ht="65.25" customHeight="1">
      <c r="A6" s="506"/>
      <c r="B6" s="546"/>
      <c r="C6" s="547"/>
      <c r="D6" s="506"/>
      <c r="E6" s="511"/>
      <c r="F6" s="511"/>
      <c r="G6" s="206" t="s">
        <v>133</v>
      </c>
      <c r="H6" s="206" t="s">
        <v>134</v>
      </c>
      <c r="I6" s="539"/>
      <c r="J6" s="535"/>
    </row>
    <row r="7" spans="1:10" ht="9" customHeight="1">
      <c r="A7" s="5">
        <v>1</v>
      </c>
      <c r="B7" s="550">
        <v>2</v>
      </c>
      <c r="C7" s="551"/>
      <c r="D7" s="5"/>
      <c r="E7" s="5">
        <v>4</v>
      </c>
      <c r="F7" s="5">
        <v>5</v>
      </c>
      <c r="G7" s="5">
        <v>6</v>
      </c>
      <c r="H7" s="5">
        <v>7</v>
      </c>
      <c r="I7" s="5">
        <v>8</v>
      </c>
      <c r="J7" s="249"/>
    </row>
    <row r="8" spans="1:10" ht="19.5" customHeight="1">
      <c r="A8" s="10">
        <v>750</v>
      </c>
      <c r="B8" s="548">
        <v>75011</v>
      </c>
      <c r="C8" s="549"/>
      <c r="D8" s="250"/>
      <c r="E8" s="250">
        <f aca="true" t="shared" si="0" ref="E8:E15">SUM(F8)</f>
        <v>236876</v>
      </c>
      <c r="F8" s="250">
        <f aca="true" t="shared" si="1" ref="F8:F15">SUM(G8:I8)</f>
        <v>236876</v>
      </c>
      <c r="G8" s="250">
        <v>231103</v>
      </c>
      <c r="H8" s="251">
        <v>5773</v>
      </c>
      <c r="I8" s="251"/>
      <c r="J8" s="8"/>
    </row>
    <row r="9" spans="1:10" ht="19.5" customHeight="1">
      <c r="A9" s="10">
        <v>751</v>
      </c>
      <c r="B9" s="548">
        <v>75101</v>
      </c>
      <c r="C9" s="549"/>
      <c r="D9" s="250"/>
      <c r="E9" s="250">
        <f t="shared" si="0"/>
        <v>5200</v>
      </c>
      <c r="F9" s="250">
        <f t="shared" si="1"/>
        <v>5200</v>
      </c>
      <c r="G9" s="250"/>
      <c r="H9" s="251">
        <v>5200</v>
      </c>
      <c r="I9" s="251"/>
      <c r="J9" s="8"/>
    </row>
    <row r="10" spans="1:10" ht="19.5" customHeight="1">
      <c r="A10" s="10">
        <v>754</v>
      </c>
      <c r="B10" s="548">
        <v>75414</v>
      </c>
      <c r="C10" s="549"/>
      <c r="D10" s="250"/>
      <c r="E10" s="250">
        <f t="shared" si="0"/>
        <v>3500</v>
      </c>
      <c r="F10" s="250">
        <f t="shared" si="1"/>
        <v>3500</v>
      </c>
      <c r="G10" s="250"/>
      <c r="H10" s="251">
        <v>3500</v>
      </c>
      <c r="I10" s="251"/>
      <c r="J10" s="8"/>
    </row>
    <row r="11" spans="1:10" ht="19.5" customHeight="1">
      <c r="A11" s="10">
        <v>852</v>
      </c>
      <c r="B11" s="548">
        <v>85203</v>
      </c>
      <c r="C11" s="549"/>
      <c r="D11" s="250"/>
      <c r="E11" s="250">
        <f t="shared" si="0"/>
        <v>253800</v>
      </c>
      <c r="F11" s="250">
        <f t="shared" si="1"/>
        <v>253800</v>
      </c>
      <c r="G11" s="250">
        <v>188879</v>
      </c>
      <c r="H11" s="251">
        <v>64921</v>
      </c>
      <c r="I11" s="251"/>
      <c r="J11" s="8"/>
    </row>
    <row r="12" spans="1:10" ht="19.5" customHeight="1">
      <c r="A12" s="10">
        <v>852</v>
      </c>
      <c r="B12" s="548">
        <v>85212</v>
      </c>
      <c r="C12" s="549"/>
      <c r="D12" s="250"/>
      <c r="E12" s="250">
        <f t="shared" si="0"/>
        <v>5333664</v>
      </c>
      <c r="F12" s="250">
        <f t="shared" si="1"/>
        <v>5333664</v>
      </c>
      <c r="G12" s="250">
        <v>138587</v>
      </c>
      <c r="H12" s="251">
        <v>31809</v>
      </c>
      <c r="I12" s="251">
        <v>5163268</v>
      </c>
      <c r="J12" s="8"/>
    </row>
    <row r="13" spans="1:10" ht="19.5" customHeight="1">
      <c r="A13" s="10">
        <v>852</v>
      </c>
      <c r="B13" s="548">
        <v>85213</v>
      </c>
      <c r="C13" s="549"/>
      <c r="D13" s="250"/>
      <c r="E13" s="250">
        <f t="shared" si="0"/>
        <v>5981</v>
      </c>
      <c r="F13" s="250">
        <f t="shared" si="1"/>
        <v>5981</v>
      </c>
      <c r="G13" s="254">
        <v>5981</v>
      </c>
      <c r="H13" s="251"/>
      <c r="I13" s="251" t="s">
        <v>227</v>
      </c>
      <c r="J13" s="8"/>
    </row>
    <row r="14" spans="1:10" ht="19.5" customHeight="1">
      <c r="A14" s="10">
        <v>852</v>
      </c>
      <c r="B14" s="548">
        <v>85216</v>
      </c>
      <c r="C14" s="549"/>
      <c r="D14" s="250"/>
      <c r="E14" s="250">
        <f t="shared" si="0"/>
        <v>325952</v>
      </c>
      <c r="F14" s="250">
        <f t="shared" si="1"/>
        <v>325952</v>
      </c>
      <c r="G14" s="250"/>
      <c r="H14" s="251" t="s">
        <v>227</v>
      </c>
      <c r="I14" s="251">
        <v>325952</v>
      </c>
      <c r="J14" s="8"/>
    </row>
    <row r="15" spans="1:10" ht="19.5" customHeight="1">
      <c r="A15" s="10">
        <v>852</v>
      </c>
      <c r="B15" s="548">
        <v>85228</v>
      </c>
      <c r="C15" s="549"/>
      <c r="D15" s="250"/>
      <c r="E15" s="250">
        <f t="shared" si="0"/>
        <v>111654</v>
      </c>
      <c r="F15" s="250">
        <f t="shared" si="1"/>
        <v>111654</v>
      </c>
      <c r="G15" s="250">
        <v>95101</v>
      </c>
      <c r="H15" s="251">
        <v>16553</v>
      </c>
      <c r="I15" s="251"/>
      <c r="J15" s="8"/>
    </row>
    <row r="16" spans="1:10" ht="19.5" customHeight="1">
      <c r="A16" s="516" t="s">
        <v>50</v>
      </c>
      <c r="B16" s="517"/>
      <c r="C16" s="518"/>
      <c r="D16" s="252"/>
      <c r="E16" s="252">
        <f>SUM(E8:E15)</f>
        <v>6276627</v>
      </c>
      <c r="F16" s="252">
        <f>SUM(F8:F15)</f>
        <v>6276627</v>
      </c>
      <c r="G16" s="252">
        <f>SUM(G8:G15)</f>
        <v>659651</v>
      </c>
      <c r="H16" s="252">
        <f>SUM(H8:H15)</f>
        <v>127756</v>
      </c>
      <c r="I16" s="252">
        <f>SUM(I8:I15)</f>
        <v>5489220</v>
      </c>
      <c r="J16" s="253"/>
    </row>
    <row r="17" spans="1:10" ht="19.5" customHeight="1">
      <c r="A17" s="3"/>
      <c r="B17" s="3"/>
      <c r="C17" s="3"/>
      <c r="D17" s="8"/>
      <c r="E17" s="8"/>
      <c r="F17" s="8"/>
      <c r="G17" s="8"/>
      <c r="H17" s="8"/>
      <c r="I17" s="8"/>
      <c r="J17" s="8"/>
    </row>
  </sheetData>
  <mergeCells count="21">
    <mergeCell ref="A16:C16"/>
    <mergeCell ref="B7:C7"/>
    <mergeCell ref="B8:C8"/>
    <mergeCell ref="B9:C9"/>
    <mergeCell ref="B10:C10"/>
    <mergeCell ref="B13:C13"/>
    <mergeCell ref="B14:C14"/>
    <mergeCell ref="B15:C15"/>
    <mergeCell ref="F5:F6"/>
    <mergeCell ref="E4:E6"/>
    <mergeCell ref="B12:C12"/>
    <mergeCell ref="D4:D6"/>
    <mergeCell ref="B11:C11"/>
    <mergeCell ref="I1:J1"/>
    <mergeCell ref="J5:J6"/>
    <mergeCell ref="G5:H5"/>
    <mergeCell ref="I5:I6"/>
    <mergeCell ref="F4:I4"/>
    <mergeCell ref="A2:I2"/>
    <mergeCell ref="B4:C6"/>
    <mergeCell ref="A4:A6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portrait" paperSize="9" scale="90" r:id="rId1"/>
  <headerFooter alignWithMargins="0">
    <oddHeader>&amp;RTabela nr 4
do Uchwały Nr LIII/415/2010 
Rady Miejskiej w Łowiczu
z dnia 21 stycznia 2010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4">
      <selection activeCell="D23" sqref="D23"/>
    </sheetView>
  </sheetViews>
  <sheetFormatPr defaultColWidth="9.00390625" defaultRowHeight="12.75"/>
  <cols>
    <col min="1" max="1" width="4.75390625" style="134" bestFit="1" customWidth="1"/>
    <col min="2" max="2" width="40.125" style="134" bestFit="1" customWidth="1"/>
    <col min="3" max="3" width="14.00390625" style="134" customWidth="1"/>
    <col min="4" max="4" width="17.125" style="134" customWidth="1"/>
    <col min="5" max="16384" width="9.125" style="134" customWidth="1"/>
  </cols>
  <sheetData>
    <row r="1" spans="1:4" ht="15" customHeight="1">
      <c r="A1" s="554" t="s">
        <v>121</v>
      </c>
      <c r="B1" s="554"/>
      <c r="C1" s="554"/>
      <c r="D1" s="554"/>
    </row>
    <row r="2" ht="6.75" customHeight="1">
      <c r="A2" s="170"/>
    </row>
    <row r="3" ht="12.75">
      <c r="D3" s="171" t="s">
        <v>27</v>
      </c>
    </row>
    <row r="4" spans="1:4" ht="15" customHeight="1">
      <c r="A4" s="555" t="s">
        <v>38</v>
      </c>
      <c r="B4" s="555" t="s">
        <v>5</v>
      </c>
      <c r="C4" s="556" t="s">
        <v>39</v>
      </c>
      <c r="D4" s="556" t="s">
        <v>369</v>
      </c>
    </row>
    <row r="5" spans="1:4" ht="15" customHeight="1">
      <c r="A5" s="555"/>
      <c r="B5" s="555"/>
      <c r="C5" s="555"/>
      <c r="D5" s="556"/>
    </row>
    <row r="6" spans="1:4" ht="15.75" customHeight="1">
      <c r="A6" s="555"/>
      <c r="B6" s="555"/>
      <c r="C6" s="555"/>
      <c r="D6" s="556"/>
    </row>
    <row r="7" spans="1:4" s="174" customFormat="1" ht="9.75" customHeight="1">
      <c r="A7" s="172">
        <v>1</v>
      </c>
      <c r="B7" s="172">
        <v>2</v>
      </c>
      <c r="C7" s="172">
        <v>3</v>
      </c>
      <c r="D7" s="173">
        <v>4</v>
      </c>
    </row>
    <row r="8" spans="1:4" ht="18.75" customHeight="1">
      <c r="A8" s="552" t="s">
        <v>16</v>
      </c>
      <c r="B8" s="553"/>
      <c r="C8" s="175"/>
      <c r="D8" s="176">
        <f>SUM(D9:D16)</f>
        <v>17600000</v>
      </c>
    </row>
    <row r="9" spans="1:4" ht="21.75" customHeight="1">
      <c r="A9" s="177" t="s">
        <v>7</v>
      </c>
      <c r="B9" s="178" t="s">
        <v>11</v>
      </c>
      <c r="C9" s="177" t="s">
        <v>17</v>
      </c>
      <c r="D9" s="179">
        <v>16410000</v>
      </c>
    </row>
    <row r="10" spans="1:4" ht="18.75" customHeight="1">
      <c r="A10" s="180" t="s">
        <v>8</v>
      </c>
      <c r="B10" s="175" t="s">
        <v>12</v>
      </c>
      <c r="C10" s="177" t="s">
        <v>17</v>
      </c>
      <c r="D10" s="181">
        <v>1190000</v>
      </c>
    </row>
    <row r="11" spans="1:4" ht="31.5" customHeight="1">
      <c r="A11" s="177" t="s">
        <v>9</v>
      </c>
      <c r="B11" s="182" t="s">
        <v>47</v>
      </c>
      <c r="C11" s="177" t="s">
        <v>32</v>
      </c>
      <c r="D11" s="179" t="s">
        <v>227</v>
      </c>
    </row>
    <row r="12" spans="1:4" ht="15.75" customHeight="1">
      <c r="A12" s="180" t="s">
        <v>1</v>
      </c>
      <c r="B12" s="175" t="s">
        <v>19</v>
      </c>
      <c r="C12" s="177" t="s">
        <v>33</v>
      </c>
      <c r="D12" s="179"/>
    </row>
    <row r="13" spans="1:4" ht="15" customHeight="1">
      <c r="A13" s="177" t="s">
        <v>10</v>
      </c>
      <c r="B13" s="175" t="s">
        <v>48</v>
      </c>
      <c r="C13" s="177" t="s">
        <v>54</v>
      </c>
      <c r="D13" s="179"/>
    </row>
    <row r="14" spans="1:4" ht="16.5" customHeight="1">
      <c r="A14" s="180" t="s">
        <v>13</v>
      </c>
      <c r="B14" s="175" t="s">
        <v>14</v>
      </c>
      <c r="C14" s="177" t="s">
        <v>18</v>
      </c>
      <c r="D14" s="183"/>
    </row>
    <row r="15" spans="1:4" ht="15" customHeight="1">
      <c r="A15" s="177" t="s">
        <v>15</v>
      </c>
      <c r="B15" s="175" t="s">
        <v>52</v>
      </c>
      <c r="C15" s="177" t="s">
        <v>40</v>
      </c>
      <c r="D15" s="184"/>
    </row>
    <row r="16" spans="1:4" ht="15" customHeight="1">
      <c r="A16" s="177" t="s">
        <v>21</v>
      </c>
      <c r="B16" s="185" t="s">
        <v>31</v>
      </c>
      <c r="C16" s="177" t="s">
        <v>20</v>
      </c>
      <c r="D16" s="184" t="s">
        <v>227</v>
      </c>
    </row>
    <row r="17" spans="1:4" ht="18.75" customHeight="1">
      <c r="A17" s="552" t="s">
        <v>49</v>
      </c>
      <c r="B17" s="553"/>
      <c r="C17" s="177"/>
      <c r="D17" s="176">
        <f>SUM(D18:D23)</f>
        <v>5176868</v>
      </c>
    </row>
    <row r="18" spans="1:4" ht="16.5" customHeight="1">
      <c r="A18" s="177" t="s">
        <v>7</v>
      </c>
      <c r="B18" s="175" t="s">
        <v>370</v>
      </c>
      <c r="C18" s="177" t="s">
        <v>22</v>
      </c>
      <c r="D18" s="184">
        <v>5176868</v>
      </c>
    </row>
    <row r="19" spans="1:4" ht="38.25" customHeight="1">
      <c r="A19" s="177" t="s">
        <v>8</v>
      </c>
      <c r="B19" s="186" t="s">
        <v>36</v>
      </c>
      <c r="C19" s="177" t="s">
        <v>37</v>
      </c>
      <c r="D19" s="184" t="s">
        <v>227</v>
      </c>
    </row>
    <row r="20" spans="1:4" ht="14.25" customHeight="1">
      <c r="A20" s="177" t="s">
        <v>9</v>
      </c>
      <c r="B20" s="187" t="s">
        <v>34</v>
      </c>
      <c r="C20" s="180" t="s">
        <v>30</v>
      </c>
      <c r="D20" s="188"/>
    </row>
    <row r="21" spans="1:4" ht="15.75" customHeight="1">
      <c r="A21" s="177" t="s">
        <v>1</v>
      </c>
      <c r="B21" s="175" t="s">
        <v>35</v>
      </c>
      <c r="C21" s="177" t="s">
        <v>24</v>
      </c>
      <c r="D21" s="184"/>
    </row>
    <row r="22" spans="1:4" ht="15" customHeight="1">
      <c r="A22" s="177" t="s">
        <v>10</v>
      </c>
      <c r="B22" s="185" t="s">
        <v>53</v>
      </c>
      <c r="C22" s="189" t="s">
        <v>25</v>
      </c>
      <c r="D22" s="183"/>
    </row>
    <row r="23" spans="1:6" ht="16.5" customHeight="1">
      <c r="A23" s="177" t="s">
        <v>13</v>
      </c>
      <c r="B23" s="185" t="s">
        <v>26</v>
      </c>
      <c r="C23" s="190" t="s">
        <v>23</v>
      </c>
      <c r="D23" s="191"/>
      <c r="E23" s="192"/>
      <c r="F23" s="192"/>
    </row>
    <row r="24" spans="1:3" ht="12.75">
      <c r="A24" s="193"/>
      <c r="B24" s="194"/>
      <c r="C24" s="195"/>
    </row>
    <row r="25" spans="1:2" ht="12.75">
      <c r="A25" s="196"/>
      <c r="B25" s="195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&amp;RTabela nr 5
do Uchwały Nr LIII/415/2010
Rady Miejskiej w Łowiczu
 z dnia 21 stycznai 2010 roku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P21"/>
  <sheetViews>
    <sheetView workbookViewId="0" topLeftCell="D4">
      <selection activeCell="K17" sqref="K17"/>
    </sheetView>
  </sheetViews>
  <sheetFormatPr defaultColWidth="9.00390625" defaultRowHeight="12.75"/>
  <cols>
    <col min="1" max="1" width="4.75390625" style="134" customWidth="1"/>
    <col min="2" max="2" width="6.25390625" style="134" customWidth="1"/>
    <col min="3" max="3" width="6.375" style="134" customWidth="1"/>
    <col min="4" max="4" width="3.875" style="134" customWidth="1"/>
    <col min="5" max="5" width="31.75390625" style="134" customWidth="1"/>
    <col min="6" max="6" width="10.75390625" style="134" customWidth="1"/>
    <col min="7" max="7" width="10.875" style="134" customWidth="1"/>
    <col min="8" max="8" width="10.125" style="134" customWidth="1"/>
    <col min="9" max="9" width="9.75390625" style="134" customWidth="1"/>
    <col min="10" max="10" width="8.375" style="134" customWidth="1"/>
    <col min="11" max="11" width="10.625" style="134" customWidth="1"/>
    <col min="12" max="12" width="10.75390625" style="134" customWidth="1"/>
    <col min="13" max="13" width="10.875" style="134" customWidth="1"/>
    <col min="14" max="14" width="10.25390625" style="134" customWidth="1"/>
    <col min="15" max="15" width="9.875" style="134" customWidth="1"/>
    <col min="16" max="16" width="11.875" style="134" customWidth="1"/>
    <col min="17" max="16384" width="9.125" style="134" customWidth="1"/>
  </cols>
  <sheetData>
    <row r="3" spans="1:16" ht="18">
      <c r="A3" s="557" t="s">
        <v>180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</row>
    <row r="4" spans="1:16" ht="10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135" t="s">
        <v>27</v>
      </c>
    </row>
    <row r="5" spans="1:16" s="136" customFormat="1" ht="19.5" customHeight="1">
      <c r="A5" s="558" t="s">
        <v>38</v>
      </c>
      <c r="B5" s="558" t="s">
        <v>2</v>
      </c>
      <c r="C5" s="558" t="s">
        <v>181</v>
      </c>
      <c r="D5" s="558" t="s">
        <v>227</v>
      </c>
      <c r="E5" s="559" t="s">
        <v>182</v>
      </c>
      <c r="F5" s="559" t="s">
        <v>184</v>
      </c>
      <c r="G5" s="559" t="s">
        <v>183</v>
      </c>
      <c r="H5" s="559"/>
      <c r="I5" s="559"/>
      <c r="J5" s="559"/>
      <c r="K5" s="559"/>
      <c r="L5" s="559"/>
      <c r="M5" s="559"/>
      <c r="N5" s="559"/>
      <c r="O5" s="559"/>
      <c r="P5" s="559" t="s">
        <v>192</v>
      </c>
    </row>
    <row r="6" spans="1:16" s="136" customFormat="1" ht="19.5" customHeight="1">
      <c r="A6" s="558"/>
      <c r="B6" s="558"/>
      <c r="C6" s="558"/>
      <c r="D6" s="558"/>
      <c r="E6" s="559"/>
      <c r="F6" s="559"/>
      <c r="G6" s="559" t="s">
        <v>317</v>
      </c>
      <c r="H6" s="559" t="s">
        <v>185</v>
      </c>
      <c r="I6" s="559"/>
      <c r="J6" s="559"/>
      <c r="K6" s="559"/>
      <c r="L6" s="559" t="s">
        <v>186</v>
      </c>
      <c r="M6" s="560" t="s">
        <v>318</v>
      </c>
      <c r="N6" s="560" t="s">
        <v>319</v>
      </c>
      <c r="O6" s="560" t="s">
        <v>320</v>
      </c>
      <c r="P6" s="559"/>
    </row>
    <row r="7" spans="1:16" s="136" customFormat="1" ht="29.25" customHeight="1">
      <c r="A7" s="558"/>
      <c r="B7" s="558"/>
      <c r="C7" s="558"/>
      <c r="D7" s="558"/>
      <c r="E7" s="559"/>
      <c r="F7" s="559"/>
      <c r="G7" s="559"/>
      <c r="H7" s="559" t="s">
        <v>187</v>
      </c>
      <c r="I7" s="559" t="s">
        <v>193</v>
      </c>
      <c r="J7" s="566" t="s">
        <v>321</v>
      </c>
      <c r="K7" s="559" t="s">
        <v>195</v>
      </c>
      <c r="L7" s="559"/>
      <c r="M7" s="561"/>
      <c r="N7" s="561"/>
      <c r="O7" s="563"/>
      <c r="P7" s="559"/>
    </row>
    <row r="8" spans="1:16" s="136" customFormat="1" ht="19.5" customHeight="1">
      <c r="A8" s="558"/>
      <c r="B8" s="558"/>
      <c r="C8" s="558"/>
      <c r="D8" s="558"/>
      <c r="E8" s="559"/>
      <c r="F8" s="559"/>
      <c r="G8" s="559"/>
      <c r="H8" s="559"/>
      <c r="I8" s="559"/>
      <c r="J8" s="566"/>
      <c r="K8" s="559"/>
      <c r="L8" s="559"/>
      <c r="M8" s="561"/>
      <c r="N8" s="561"/>
      <c r="O8" s="563"/>
      <c r="P8" s="559"/>
    </row>
    <row r="9" spans="1:16" s="136" customFormat="1" ht="19.5" customHeight="1">
      <c r="A9" s="558"/>
      <c r="B9" s="558"/>
      <c r="C9" s="558"/>
      <c r="D9" s="558"/>
      <c r="E9" s="559"/>
      <c r="F9" s="559"/>
      <c r="G9" s="559"/>
      <c r="H9" s="559"/>
      <c r="I9" s="559"/>
      <c r="J9" s="566"/>
      <c r="K9" s="559"/>
      <c r="L9" s="559"/>
      <c r="M9" s="562"/>
      <c r="N9" s="562"/>
      <c r="O9" s="564"/>
      <c r="P9" s="559"/>
    </row>
    <row r="10" spans="1:16" ht="7.5" customHeight="1">
      <c r="A10" s="137">
        <v>1</v>
      </c>
      <c r="B10" s="137">
        <v>2</v>
      </c>
      <c r="C10" s="137">
        <v>3</v>
      </c>
      <c r="D10" s="137">
        <v>4</v>
      </c>
      <c r="E10" s="137">
        <v>5</v>
      </c>
      <c r="F10" s="137">
        <v>6</v>
      </c>
      <c r="G10" s="137">
        <v>7</v>
      </c>
      <c r="H10" s="137">
        <v>8</v>
      </c>
      <c r="I10" s="137">
        <v>9</v>
      </c>
      <c r="J10" s="137">
        <v>10</v>
      </c>
      <c r="K10" s="137">
        <v>11</v>
      </c>
      <c r="L10" s="137">
        <v>12</v>
      </c>
      <c r="M10" s="137">
        <v>13</v>
      </c>
      <c r="N10" s="137">
        <v>14</v>
      </c>
      <c r="O10" s="137">
        <v>15</v>
      </c>
      <c r="P10" s="137">
        <v>16</v>
      </c>
    </row>
    <row r="11" spans="1:16" ht="56.25" customHeight="1">
      <c r="A11" s="138" t="s">
        <v>7</v>
      </c>
      <c r="B11" s="139">
        <v>400</v>
      </c>
      <c r="C11" s="139">
        <v>40002</v>
      </c>
      <c r="D11" s="139"/>
      <c r="E11" s="140" t="s">
        <v>322</v>
      </c>
      <c r="F11" s="141">
        <v>22377260</v>
      </c>
      <c r="G11" s="462">
        <f>SUM(H11,I11,K11)</f>
        <v>8432134</v>
      </c>
      <c r="H11" s="141">
        <v>1375683</v>
      </c>
      <c r="I11" s="141"/>
      <c r="J11" s="142" t="s">
        <v>323</v>
      </c>
      <c r="K11" s="141">
        <v>7056451</v>
      </c>
      <c r="L11" s="141">
        <v>8557106</v>
      </c>
      <c r="M11" s="141">
        <v>2197745</v>
      </c>
      <c r="N11" s="143" t="s">
        <v>227</v>
      </c>
      <c r="O11" s="141" t="s">
        <v>227</v>
      </c>
      <c r="P11" s="141"/>
    </row>
    <row r="12" spans="1:16" ht="78.75">
      <c r="A12" s="144" t="s">
        <v>8</v>
      </c>
      <c r="B12" s="145">
        <v>600</v>
      </c>
      <c r="C12" s="145">
        <v>60016</v>
      </c>
      <c r="D12" s="146"/>
      <c r="E12" s="147" t="s">
        <v>324</v>
      </c>
      <c r="F12" s="148">
        <v>11700000</v>
      </c>
      <c r="G12" s="463">
        <f>SUM(H12,I12,K12)</f>
        <v>4428840.609999999</v>
      </c>
      <c r="H12" s="148">
        <v>1107210.15</v>
      </c>
      <c r="I12" s="148" t="s">
        <v>227</v>
      </c>
      <c r="J12" s="149" t="s">
        <v>323</v>
      </c>
      <c r="K12" s="148">
        <v>3321630.46</v>
      </c>
      <c r="L12" s="148">
        <v>39756.5</v>
      </c>
      <c r="M12" s="148"/>
      <c r="N12" s="148" t="s">
        <v>227</v>
      </c>
      <c r="O12" s="148"/>
      <c r="P12" s="148"/>
    </row>
    <row r="13" spans="1:16" ht="45">
      <c r="A13" s="144" t="s">
        <v>9</v>
      </c>
      <c r="B13" s="401">
        <v>600</v>
      </c>
      <c r="C13" s="401">
        <v>60016</v>
      </c>
      <c r="D13" s="402"/>
      <c r="E13" s="147" t="s">
        <v>524</v>
      </c>
      <c r="F13" s="404">
        <v>5256980</v>
      </c>
      <c r="G13" s="404">
        <f>SUM(H13,I13,K13)</f>
        <v>3498960</v>
      </c>
      <c r="H13" s="404">
        <f>2274324-964042</f>
        <v>1310282</v>
      </c>
      <c r="I13" s="404">
        <v>964042</v>
      </c>
      <c r="J13" s="405" t="s">
        <v>323</v>
      </c>
      <c r="K13" s="404">
        <v>1224636</v>
      </c>
      <c r="L13" s="404">
        <v>674904</v>
      </c>
      <c r="M13" s="404">
        <v>1009550</v>
      </c>
      <c r="N13" s="404" t="s">
        <v>227</v>
      </c>
      <c r="O13" s="403"/>
      <c r="P13" s="403"/>
    </row>
    <row r="14" spans="1:16" ht="22.5" customHeight="1">
      <c r="A14" s="565" t="s">
        <v>50</v>
      </c>
      <c r="B14" s="565"/>
      <c r="C14" s="565"/>
      <c r="D14" s="565"/>
      <c r="E14" s="565"/>
      <c r="F14" s="150">
        <f>SUM(F11:F13)</f>
        <v>39334240</v>
      </c>
      <c r="G14" s="150">
        <f>SUM(G11:G13)</f>
        <v>16359934.61</v>
      </c>
      <c r="H14" s="150">
        <f>SUM(H11:H13)</f>
        <v>3793175.15</v>
      </c>
      <c r="I14" s="150">
        <f>SUM(I11:I13)</f>
        <v>964042</v>
      </c>
      <c r="J14" s="150">
        <f aca="true" t="shared" si="0" ref="J14:O14">SUM(J11:J12)</f>
        <v>0</v>
      </c>
      <c r="K14" s="150">
        <f>SUM(K11:K13)</f>
        <v>11602717.46</v>
      </c>
      <c r="L14" s="150">
        <f>SUM(L11:L13)</f>
        <v>9271766.5</v>
      </c>
      <c r="M14" s="150">
        <f>SUM(M11:M13)</f>
        <v>3207295</v>
      </c>
      <c r="N14" s="151">
        <f t="shared" si="0"/>
        <v>0</v>
      </c>
      <c r="O14" s="150">
        <f t="shared" si="0"/>
        <v>0</v>
      </c>
      <c r="P14" s="152" t="s">
        <v>199</v>
      </c>
    </row>
    <row r="16" ht="12.75">
      <c r="A16" s="134" t="s">
        <v>200</v>
      </c>
    </row>
    <row r="17" ht="12.75">
      <c r="A17" s="134" t="s">
        <v>201</v>
      </c>
    </row>
    <row r="18" ht="12.75">
      <c r="A18" s="134" t="s">
        <v>202</v>
      </c>
    </row>
    <row r="19" ht="12.75">
      <c r="A19" s="134" t="s">
        <v>203</v>
      </c>
    </row>
    <row r="21" ht="12.75">
      <c r="A21" s="153" t="s">
        <v>227</v>
      </c>
    </row>
  </sheetData>
  <sheetProtection/>
  <mergeCells count="20">
    <mergeCell ref="O6:O9"/>
    <mergeCell ref="M6:M9"/>
    <mergeCell ref="G6:G9"/>
    <mergeCell ref="A14:E14"/>
    <mergeCell ref="H6:K6"/>
    <mergeCell ref="H7:H9"/>
    <mergeCell ref="I7:I9"/>
    <mergeCell ref="J7:J9"/>
    <mergeCell ref="K7:K9"/>
    <mergeCell ref="D5:D9"/>
    <mergeCell ref="A3:P3"/>
    <mergeCell ref="A5:A9"/>
    <mergeCell ref="B5:B9"/>
    <mergeCell ref="C5:C9"/>
    <mergeCell ref="E5:E9"/>
    <mergeCell ref="G5:O5"/>
    <mergeCell ref="P5:P9"/>
    <mergeCell ref="L6:L9"/>
    <mergeCell ref="F5:F9"/>
    <mergeCell ref="N6:N9"/>
  </mergeCells>
  <printOptions horizontalCentered="1"/>
  <pageMargins left="0.5118110236220472" right="0.3937007874015748" top="1.3779527559055118" bottom="1.1811023622047245" header="0.5118110236220472" footer="0.5118110236220472"/>
  <pageSetup horizontalDpi="600" verticalDpi="600" orientation="landscape" paperSize="9" scale="80" r:id="rId1"/>
  <headerFooter alignWithMargins="0">
    <oddHeader>&amp;C
 &amp;R&amp;9Tabela nr 6 
do Uchwały Nr LIII/415/2010
 Rady Miejskiej w Łowiczu
z dnia 21 stycznia 2010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E28">
      <selection activeCell="M37" sqref="M37"/>
    </sheetView>
  </sheetViews>
  <sheetFormatPr defaultColWidth="10.25390625" defaultRowHeight="12.75"/>
  <cols>
    <col min="1" max="1" width="3.625" style="38" bestFit="1" customWidth="1"/>
    <col min="2" max="2" width="18.00390625" style="38" customWidth="1"/>
    <col min="3" max="3" width="9.875" style="38" customWidth="1"/>
    <col min="4" max="4" width="8.625" style="38" customWidth="1"/>
    <col min="5" max="5" width="12.875" style="38" customWidth="1"/>
    <col min="6" max="7" width="10.875" style="38" customWidth="1"/>
    <col min="8" max="8" width="10.75390625" style="38" customWidth="1"/>
    <col min="9" max="10" width="9.875" style="38" customWidth="1"/>
    <col min="11" max="11" width="7.75390625" style="38" customWidth="1"/>
    <col min="12" max="12" width="9.75390625" style="38" customWidth="1"/>
    <col min="13" max="13" width="11.625" style="38" customWidth="1"/>
    <col min="14" max="14" width="9.875" style="38" customWidth="1"/>
    <col min="15" max="15" width="8.625" style="38" customWidth="1"/>
    <col min="16" max="16" width="11.125" style="38" customWidth="1"/>
    <col min="17" max="16384" width="10.25390625" style="38" customWidth="1"/>
  </cols>
  <sheetData>
    <row r="1" spans="1:16" ht="36.75" customHeight="1">
      <c r="A1" s="580" t="s">
        <v>450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</row>
    <row r="2" spans="1:16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1.25">
      <c r="A3" s="567" t="s">
        <v>38</v>
      </c>
      <c r="B3" s="567" t="s">
        <v>204</v>
      </c>
      <c r="C3" s="568" t="s">
        <v>205</v>
      </c>
      <c r="D3" s="568" t="s">
        <v>292</v>
      </c>
      <c r="E3" s="568" t="s">
        <v>206</v>
      </c>
      <c r="F3" s="567" t="s">
        <v>6</v>
      </c>
      <c r="G3" s="567"/>
      <c r="H3" s="567" t="s">
        <v>183</v>
      </c>
      <c r="I3" s="567"/>
      <c r="J3" s="567"/>
      <c r="K3" s="567"/>
      <c r="L3" s="567"/>
      <c r="M3" s="567"/>
      <c r="N3" s="567"/>
      <c r="O3" s="567"/>
      <c r="P3" s="567"/>
    </row>
    <row r="4" spans="1:16" ht="11.25">
      <c r="A4" s="567"/>
      <c r="B4" s="567"/>
      <c r="C4" s="568"/>
      <c r="D4" s="568"/>
      <c r="E4" s="568"/>
      <c r="F4" s="568" t="s">
        <v>207</v>
      </c>
      <c r="G4" s="568" t="s">
        <v>208</v>
      </c>
      <c r="H4" s="567" t="s">
        <v>209</v>
      </c>
      <c r="I4" s="567"/>
      <c r="J4" s="567"/>
      <c r="K4" s="567"/>
      <c r="L4" s="567"/>
      <c r="M4" s="567"/>
      <c r="N4" s="567"/>
      <c r="O4" s="567"/>
      <c r="P4" s="567"/>
    </row>
    <row r="5" spans="1:16" ht="11.25">
      <c r="A5" s="567"/>
      <c r="B5" s="567"/>
      <c r="C5" s="568"/>
      <c r="D5" s="568"/>
      <c r="E5" s="568"/>
      <c r="F5" s="568"/>
      <c r="G5" s="568"/>
      <c r="H5" s="568" t="s">
        <v>210</v>
      </c>
      <c r="I5" s="567" t="s">
        <v>41</v>
      </c>
      <c r="J5" s="567"/>
      <c r="K5" s="567"/>
      <c r="L5" s="567"/>
      <c r="M5" s="567"/>
      <c r="N5" s="567"/>
      <c r="O5" s="567"/>
      <c r="P5" s="567"/>
    </row>
    <row r="6" spans="1:16" ht="14.25" customHeight="1">
      <c r="A6" s="567"/>
      <c r="B6" s="567"/>
      <c r="C6" s="568"/>
      <c r="D6" s="568"/>
      <c r="E6" s="568"/>
      <c r="F6" s="568"/>
      <c r="G6" s="568"/>
      <c r="H6" s="568"/>
      <c r="I6" s="567" t="s">
        <v>451</v>
      </c>
      <c r="J6" s="567"/>
      <c r="K6" s="567"/>
      <c r="L6" s="567"/>
      <c r="M6" s="567" t="s">
        <v>211</v>
      </c>
      <c r="N6" s="567"/>
      <c r="O6" s="567"/>
      <c r="P6" s="567"/>
    </row>
    <row r="7" spans="1:16" ht="12.75" customHeight="1">
      <c r="A7" s="567"/>
      <c r="B7" s="567"/>
      <c r="C7" s="568"/>
      <c r="D7" s="568"/>
      <c r="E7" s="568"/>
      <c r="F7" s="568"/>
      <c r="G7" s="568"/>
      <c r="H7" s="568"/>
      <c r="I7" s="568" t="s">
        <v>212</v>
      </c>
      <c r="J7" s="567" t="s">
        <v>213</v>
      </c>
      <c r="K7" s="567"/>
      <c r="L7" s="567"/>
      <c r="M7" s="568" t="s">
        <v>293</v>
      </c>
      <c r="N7" s="568" t="s">
        <v>213</v>
      </c>
      <c r="O7" s="568"/>
      <c r="P7" s="568"/>
    </row>
    <row r="8" spans="1:16" ht="40.5" customHeight="1">
      <c r="A8" s="567"/>
      <c r="B8" s="567"/>
      <c r="C8" s="568"/>
      <c r="D8" s="568"/>
      <c r="E8" s="568"/>
      <c r="F8" s="568"/>
      <c r="G8" s="568"/>
      <c r="H8" s="568"/>
      <c r="I8" s="568"/>
      <c r="J8" s="69" t="s">
        <v>214</v>
      </c>
      <c r="K8" s="69" t="s">
        <v>42</v>
      </c>
      <c r="L8" s="69" t="s">
        <v>215</v>
      </c>
      <c r="M8" s="568"/>
      <c r="N8" s="69" t="s">
        <v>214</v>
      </c>
      <c r="O8" s="69" t="s">
        <v>42</v>
      </c>
      <c r="P8" s="69" t="s">
        <v>215</v>
      </c>
    </row>
    <row r="9" spans="1:16" ht="7.5" customHeight="1" thickBot="1">
      <c r="A9" s="70">
        <v>1</v>
      </c>
      <c r="B9" s="70">
        <v>2</v>
      </c>
      <c r="C9" s="70">
        <v>3</v>
      </c>
      <c r="D9" s="70">
        <v>4</v>
      </c>
      <c r="E9" s="70">
        <v>5</v>
      </c>
      <c r="F9" s="70">
        <v>6</v>
      </c>
      <c r="G9" s="70">
        <v>7</v>
      </c>
      <c r="H9" s="70">
        <v>8</v>
      </c>
      <c r="I9" s="70">
        <v>9</v>
      </c>
      <c r="J9" s="70">
        <v>10</v>
      </c>
      <c r="K9" s="70">
        <v>11</v>
      </c>
      <c r="L9" s="70">
        <v>12</v>
      </c>
      <c r="M9" s="70">
        <v>13</v>
      </c>
      <c r="N9" s="70">
        <v>14</v>
      </c>
      <c r="O9" s="70">
        <v>15</v>
      </c>
      <c r="P9" s="70">
        <v>16</v>
      </c>
    </row>
    <row r="10" spans="1:16" s="39" customFormat="1" ht="12" thickBot="1">
      <c r="A10" s="71">
        <v>1</v>
      </c>
      <c r="B10" s="72" t="s">
        <v>216</v>
      </c>
      <c r="C10" s="590" t="s">
        <v>199</v>
      </c>
      <c r="D10" s="590"/>
      <c r="E10" s="73">
        <f>SUM(F10,G10)</f>
        <v>42533690</v>
      </c>
      <c r="F10" s="73">
        <f>SUM(F14,F23,F40,F32)</f>
        <v>11871504</v>
      </c>
      <c r="G10" s="73">
        <f>SUM(G14,G23,G40,G32)</f>
        <v>30662186</v>
      </c>
      <c r="H10" s="73">
        <f>SUM(I10,M10)</f>
        <v>19429526.61</v>
      </c>
      <c r="I10" s="73">
        <f>SUM(J10:L10)</f>
        <v>5524615.15</v>
      </c>
      <c r="J10" s="73">
        <f>SUM(J14,J23,J32,J40)</f>
        <v>964042</v>
      </c>
      <c r="K10" s="73">
        <f>SUM(K14,K40)</f>
        <v>0</v>
      </c>
      <c r="L10" s="73">
        <f>SUM(L14,L23,L32,L40)</f>
        <v>4560573.15</v>
      </c>
      <c r="M10" s="73">
        <f>SUM(N10:P10)</f>
        <v>13904911.46</v>
      </c>
      <c r="N10" s="73">
        <f>SUM(N14,N40)</f>
        <v>0</v>
      </c>
      <c r="O10" s="73">
        <f>SUM(O14,O40)</f>
        <v>0</v>
      </c>
      <c r="P10" s="73">
        <f>SUM(P14,P23,P32,P40)</f>
        <v>13904911.46</v>
      </c>
    </row>
    <row r="11" spans="1:16" ht="40.5">
      <c r="A11" s="570" t="s">
        <v>43</v>
      </c>
      <c r="B11" s="74" t="s">
        <v>313</v>
      </c>
      <c r="C11" s="75"/>
      <c r="D11" s="42"/>
      <c r="E11" s="42"/>
      <c r="F11" s="42"/>
      <c r="G11" s="42"/>
      <c r="H11" s="42"/>
      <c r="I11" s="76" t="s">
        <v>227</v>
      </c>
      <c r="J11" s="42"/>
      <c r="K11" s="42"/>
      <c r="L11" s="42"/>
      <c r="M11" s="76" t="s">
        <v>227</v>
      </c>
      <c r="N11" s="42"/>
      <c r="O11" s="42"/>
      <c r="P11" s="77"/>
    </row>
    <row r="12" spans="1:16" ht="11.25">
      <c r="A12" s="571"/>
      <c r="B12" s="41" t="s">
        <v>294</v>
      </c>
      <c r="C12" s="75"/>
      <c r="D12" s="42"/>
      <c r="E12" s="42"/>
      <c r="F12" s="42"/>
      <c r="G12" s="42"/>
      <c r="H12" s="42"/>
      <c r="I12" s="76" t="s">
        <v>227</v>
      </c>
      <c r="J12" s="42"/>
      <c r="K12" s="42"/>
      <c r="L12" s="42"/>
      <c r="M12" s="76" t="s">
        <v>227</v>
      </c>
      <c r="N12" s="42"/>
      <c r="O12" s="42"/>
      <c r="P12" s="77"/>
    </row>
    <row r="13" spans="1:16" ht="33.75">
      <c r="A13" s="571"/>
      <c r="B13" s="78" t="s">
        <v>295</v>
      </c>
      <c r="C13" s="75"/>
      <c r="D13" s="42"/>
      <c r="E13" s="42"/>
      <c r="F13" s="42"/>
      <c r="G13" s="42"/>
      <c r="H13" s="42"/>
      <c r="I13" s="76" t="s">
        <v>227</v>
      </c>
      <c r="J13" s="42"/>
      <c r="K13" s="42"/>
      <c r="L13" s="42"/>
      <c r="M13" s="76" t="s">
        <v>227</v>
      </c>
      <c r="N13" s="42"/>
      <c r="O13" s="42"/>
      <c r="P13" s="77"/>
    </row>
    <row r="14" spans="1:16" ht="132" customHeight="1">
      <c r="A14" s="571"/>
      <c r="B14" s="79" t="s">
        <v>314</v>
      </c>
      <c r="C14" s="459">
        <v>45</v>
      </c>
      <c r="D14" s="460" t="s">
        <v>296</v>
      </c>
      <c r="E14" s="461">
        <v>22377260</v>
      </c>
      <c r="F14" s="461">
        <v>4729604</v>
      </c>
      <c r="G14" s="461">
        <v>17647656</v>
      </c>
      <c r="H14" s="461">
        <f>SUM(H15)</f>
        <v>8432134</v>
      </c>
      <c r="I14" s="461">
        <f>SUM(J14,L14)</f>
        <v>1375683</v>
      </c>
      <c r="J14" s="461">
        <f>SUM(J15)</f>
        <v>0</v>
      </c>
      <c r="K14" s="461">
        <f>SUM(K15)</f>
        <v>0</v>
      </c>
      <c r="L14" s="461">
        <f>SUM(L15)</f>
        <v>1375683</v>
      </c>
      <c r="M14" s="461">
        <f>SUM(M15)</f>
        <v>7056451</v>
      </c>
      <c r="N14" s="461" t="s">
        <v>227</v>
      </c>
      <c r="O14" s="461">
        <f>SUM(O15)</f>
        <v>0</v>
      </c>
      <c r="P14" s="461">
        <f>SUM(P15)</f>
        <v>7056451</v>
      </c>
    </row>
    <row r="15" spans="1:16" ht="11.25">
      <c r="A15" s="571"/>
      <c r="B15" s="80" t="s">
        <v>217</v>
      </c>
      <c r="C15" s="81"/>
      <c r="D15" s="81"/>
      <c r="E15" s="82">
        <v>22377260</v>
      </c>
      <c r="F15" s="82">
        <f>E15-G15</f>
        <v>4729604</v>
      </c>
      <c r="G15" s="82">
        <v>17647656</v>
      </c>
      <c r="H15" s="83">
        <f>SUM(I15,M15)</f>
        <v>8432134</v>
      </c>
      <c r="I15" s="84">
        <f>SUM(J15:L15)</f>
        <v>1375683</v>
      </c>
      <c r="J15" s="85" t="s">
        <v>227</v>
      </c>
      <c r="K15" s="86">
        <v>0</v>
      </c>
      <c r="L15" s="86">
        <f>SUM(L16:L17)</f>
        <v>1375683</v>
      </c>
      <c r="M15" s="82">
        <f>SUM(N15:P15)</f>
        <v>7056451</v>
      </c>
      <c r="N15" s="86" t="s">
        <v>227</v>
      </c>
      <c r="O15" s="87">
        <v>0</v>
      </c>
      <c r="P15" s="87">
        <f>SUM(P16:P17)</f>
        <v>7056451</v>
      </c>
    </row>
    <row r="16" spans="1:16" ht="11.25" customHeight="1">
      <c r="A16" s="571"/>
      <c r="B16" s="88" t="s">
        <v>538</v>
      </c>
      <c r="C16" s="89"/>
      <c r="D16" s="89"/>
      <c r="E16" s="87" t="s">
        <v>227</v>
      </c>
      <c r="F16" s="87" t="s">
        <v>227</v>
      </c>
      <c r="G16" s="87" t="s">
        <v>227</v>
      </c>
      <c r="H16" s="90" t="s">
        <v>227</v>
      </c>
      <c r="I16" s="91" t="s">
        <v>227</v>
      </c>
      <c r="J16" s="90" t="s">
        <v>227</v>
      </c>
      <c r="K16" s="90" t="s">
        <v>227</v>
      </c>
      <c r="L16" s="90" t="s">
        <v>227</v>
      </c>
      <c r="M16" s="90" t="s">
        <v>227</v>
      </c>
      <c r="N16" s="90" t="s">
        <v>227</v>
      </c>
      <c r="O16" s="92" t="s">
        <v>227</v>
      </c>
      <c r="P16" s="87" t="s">
        <v>227</v>
      </c>
    </row>
    <row r="17" spans="1:16" ht="11.25" customHeight="1">
      <c r="A17" s="571"/>
      <c r="B17" s="93" t="s">
        <v>298</v>
      </c>
      <c r="C17" s="89"/>
      <c r="D17" s="89"/>
      <c r="E17" s="87">
        <f>SUM(F17:G17)</f>
        <v>8432134</v>
      </c>
      <c r="F17" s="87">
        <f>1375683</f>
        <v>1375683</v>
      </c>
      <c r="G17" s="87">
        <v>7056451</v>
      </c>
      <c r="H17" s="90">
        <f>SUM(I17,M17)</f>
        <v>8432134</v>
      </c>
      <c r="I17" s="91">
        <f>SUM(J17,L17)</f>
        <v>1375683</v>
      </c>
      <c r="J17" s="92"/>
      <c r="K17" s="92"/>
      <c r="L17" s="90">
        <v>1375683</v>
      </c>
      <c r="M17" s="90">
        <f>SUM(N17:P17)</f>
        <v>7056451</v>
      </c>
      <c r="N17" s="94"/>
      <c r="O17" s="94"/>
      <c r="P17" s="90">
        <v>7056451</v>
      </c>
    </row>
    <row r="18" spans="1:16" ht="11.25" customHeight="1">
      <c r="A18" s="571"/>
      <c r="B18" s="93" t="s">
        <v>299</v>
      </c>
      <c r="C18" s="89"/>
      <c r="D18" s="89"/>
      <c r="E18" s="87">
        <f>SUM(F18:G18)</f>
        <v>8557106</v>
      </c>
      <c r="F18" s="87">
        <v>2545719</v>
      </c>
      <c r="G18" s="87">
        <v>6011387</v>
      </c>
      <c r="H18" s="95"/>
      <c r="I18" s="95"/>
      <c r="J18" s="95"/>
      <c r="K18" s="95"/>
      <c r="L18" s="95"/>
      <c r="M18" s="95"/>
      <c r="N18" s="96"/>
      <c r="O18" s="96"/>
      <c r="P18" s="96"/>
    </row>
    <row r="19" spans="1:16" ht="11.25" customHeight="1">
      <c r="A19" s="571"/>
      <c r="B19" s="93" t="s">
        <v>300</v>
      </c>
      <c r="C19" s="89"/>
      <c r="D19" s="89"/>
      <c r="E19" s="87">
        <f>SUM(F19:G19)</f>
        <v>2197745</v>
      </c>
      <c r="F19" s="87">
        <v>329662</v>
      </c>
      <c r="G19" s="87">
        <v>1868083</v>
      </c>
      <c r="H19" s="97"/>
      <c r="I19" s="97"/>
      <c r="J19" s="97"/>
      <c r="K19" s="97"/>
      <c r="L19" s="97"/>
      <c r="M19" s="97" t="s">
        <v>227</v>
      </c>
      <c r="N19" s="98"/>
      <c r="O19" s="98"/>
      <c r="P19" s="98"/>
    </row>
    <row r="20" spans="1:16" ht="45.75" customHeight="1">
      <c r="A20" s="577" t="s">
        <v>44</v>
      </c>
      <c r="B20" s="100" t="s">
        <v>313</v>
      </c>
      <c r="C20" s="101"/>
      <c r="D20" s="102"/>
      <c r="E20" s="102"/>
      <c r="F20" s="102"/>
      <c r="G20" s="102"/>
      <c r="H20" s="102"/>
      <c r="I20" s="103" t="s">
        <v>227</v>
      </c>
      <c r="J20" s="102"/>
      <c r="K20" s="102"/>
      <c r="L20" s="102"/>
      <c r="M20" s="103" t="s">
        <v>227</v>
      </c>
      <c r="N20" s="104"/>
      <c r="O20" s="104"/>
      <c r="P20" s="105"/>
    </row>
    <row r="21" spans="1:16" ht="22.5">
      <c r="A21" s="576"/>
      <c r="B21" s="40" t="s">
        <v>301</v>
      </c>
      <c r="C21" s="75"/>
      <c r="D21" s="42"/>
      <c r="E21" s="42"/>
      <c r="F21" s="42"/>
      <c r="G21" s="42"/>
      <c r="H21" s="42"/>
      <c r="I21" s="76" t="s">
        <v>227</v>
      </c>
      <c r="J21" s="42"/>
      <c r="K21" s="42"/>
      <c r="L21" s="42"/>
      <c r="M21" s="76" t="s">
        <v>227</v>
      </c>
      <c r="N21" s="106"/>
      <c r="O21" s="106"/>
      <c r="P21" s="107"/>
    </row>
    <row r="22" spans="1:16" ht="37.5" customHeight="1">
      <c r="A22" s="576"/>
      <c r="B22" s="108" t="s">
        <v>302</v>
      </c>
      <c r="C22" s="109"/>
      <c r="D22" s="110"/>
      <c r="E22" s="110"/>
      <c r="F22" s="110"/>
      <c r="G22" s="110"/>
      <c r="H22" s="110"/>
      <c r="I22" s="111" t="s">
        <v>227</v>
      </c>
      <c r="J22" s="110"/>
      <c r="K22" s="110"/>
      <c r="L22" s="110"/>
      <c r="M22" s="111" t="s">
        <v>227</v>
      </c>
      <c r="N22" s="112"/>
      <c r="O22" s="112"/>
      <c r="P22" s="113"/>
    </row>
    <row r="23" spans="1:16" ht="146.25" customHeight="1">
      <c r="A23" s="576"/>
      <c r="B23" s="114" t="s">
        <v>315</v>
      </c>
      <c r="C23" s="456">
        <v>10</v>
      </c>
      <c r="D23" s="457" t="s">
        <v>303</v>
      </c>
      <c r="E23" s="458">
        <v>11700000</v>
      </c>
      <c r="F23" s="458">
        <v>2925000</v>
      </c>
      <c r="G23" s="458">
        <v>8775000</v>
      </c>
      <c r="H23" s="458">
        <f>SUM(H24)</f>
        <v>4428840.609999999</v>
      </c>
      <c r="I23" s="458">
        <f>SUM(I24)</f>
        <v>1107210.15</v>
      </c>
      <c r="J23" s="458">
        <f>SUM(J24)</f>
        <v>0</v>
      </c>
      <c r="K23" s="458">
        <f aca="true" t="shared" si="0" ref="K23:P23">SUM(K24)</f>
        <v>0</v>
      </c>
      <c r="L23" s="458">
        <f t="shared" si="0"/>
        <v>1107210.15</v>
      </c>
      <c r="M23" s="458">
        <f t="shared" si="0"/>
        <v>3321630.46</v>
      </c>
      <c r="N23" s="458">
        <f t="shared" si="0"/>
        <v>0</v>
      </c>
      <c r="O23" s="458">
        <f t="shared" si="0"/>
        <v>0</v>
      </c>
      <c r="P23" s="458">
        <f t="shared" si="0"/>
        <v>3321630.46</v>
      </c>
    </row>
    <row r="24" spans="1:16" ht="11.25" customHeight="1">
      <c r="A24" s="576"/>
      <c r="B24" s="88" t="s">
        <v>217</v>
      </c>
      <c r="C24" s="116" t="s">
        <v>227</v>
      </c>
      <c r="D24" s="117"/>
      <c r="E24" s="87">
        <v>11700000</v>
      </c>
      <c r="F24" s="87">
        <v>2925000</v>
      </c>
      <c r="G24" s="87">
        <v>8775000</v>
      </c>
      <c r="H24" s="83">
        <f>SUM(I24,M24)</f>
        <v>4428840.609999999</v>
      </c>
      <c r="I24" s="84">
        <f>SUM(J24:L24)</f>
        <v>1107210.15</v>
      </c>
      <c r="J24" s="85" t="s">
        <v>227</v>
      </c>
      <c r="K24" s="86">
        <v>0</v>
      </c>
      <c r="L24" s="86">
        <f>SUM(L25:L26)</f>
        <v>1107210.15</v>
      </c>
      <c r="M24" s="82">
        <f>SUM(N24:P24)</f>
        <v>3321630.46</v>
      </c>
      <c r="N24" s="86" t="s">
        <v>227</v>
      </c>
      <c r="O24" s="87">
        <v>0</v>
      </c>
      <c r="P24" s="87">
        <f>SUM(P25:P26)</f>
        <v>3321630.46</v>
      </c>
    </row>
    <row r="25" spans="1:16" ht="11.25" customHeight="1">
      <c r="A25" s="576"/>
      <c r="B25" s="88" t="s">
        <v>538</v>
      </c>
      <c r="C25" s="116"/>
      <c r="D25" s="117"/>
      <c r="E25" s="87" t="s">
        <v>227</v>
      </c>
      <c r="F25" s="87" t="s">
        <v>227</v>
      </c>
      <c r="G25" s="87" t="s">
        <v>227</v>
      </c>
      <c r="H25" s="83" t="s">
        <v>227</v>
      </c>
      <c r="I25" s="84" t="s">
        <v>227</v>
      </c>
      <c r="J25" s="85"/>
      <c r="K25" s="86"/>
      <c r="L25" s="87" t="s">
        <v>227</v>
      </c>
      <c r="M25" s="82" t="s">
        <v>227</v>
      </c>
      <c r="N25" s="86"/>
      <c r="O25" s="87">
        <v>0</v>
      </c>
      <c r="P25" s="87" t="s">
        <v>227</v>
      </c>
    </row>
    <row r="26" spans="1:16" ht="11.25" customHeight="1">
      <c r="A26" s="576"/>
      <c r="B26" s="93" t="s">
        <v>209</v>
      </c>
      <c r="C26" s="116"/>
      <c r="D26" s="117"/>
      <c r="E26" s="87">
        <v>4428840.61</v>
      </c>
      <c r="F26" s="87">
        <v>1107210.15</v>
      </c>
      <c r="G26" s="87">
        <v>3321630.46</v>
      </c>
      <c r="H26" s="83">
        <f>SUM(I26,M26)</f>
        <v>4428840.609999999</v>
      </c>
      <c r="I26" s="84">
        <f>SUM(J26:L26)</f>
        <v>1107210.15</v>
      </c>
      <c r="J26" s="85"/>
      <c r="K26" s="86"/>
      <c r="L26" s="86">
        <v>1107210.15</v>
      </c>
      <c r="M26" s="82">
        <f>SUM(N26:P26)</f>
        <v>3321630.46</v>
      </c>
      <c r="N26" s="86"/>
      <c r="O26" s="87"/>
      <c r="P26" s="87">
        <v>3321630.46</v>
      </c>
    </row>
    <row r="27" spans="1:16" ht="11.25" customHeight="1">
      <c r="A27" s="579"/>
      <c r="B27" s="93" t="s">
        <v>186</v>
      </c>
      <c r="C27" s="89"/>
      <c r="D27" s="89"/>
      <c r="E27" s="87">
        <v>39756.5</v>
      </c>
      <c r="F27" s="87">
        <v>9939.13</v>
      </c>
      <c r="G27" s="87">
        <v>29817.37</v>
      </c>
      <c r="H27" s="83"/>
      <c r="I27" s="84" t="s">
        <v>227</v>
      </c>
      <c r="J27" s="85" t="s">
        <v>227</v>
      </c>
      <c r="K27" s="95"/>
      <c r="L27" s="95"/>
      <c r="M27" s="84"/>
      <c r="N27" s="95" t="s">
        <v>227</v>
      </c>
      <c r="O27" s="118"/>
      <c r="P27" s="118">
        <v>0</v>
      </c>
    </row>
    <row r="28" spans="1:16" ht="11.25" customHeight="1">
      <c r="A28" s="99"/>
      <c r="B28" s="414"/>
      <c r="C28" s="119"/>
      <c r="D28" s="43"/>
      <c r="E28" s="120"/>
      <c r="F28" s="120"/>
      <c r="G28" s="120"/>
      <c r="H28" s="415"/>
      <c r="I28" s="416"/>
      <c r="J28" s="120"/>
      <c r="K28" s="121"/>
      <c r="L28" s="121"/>
      <c r="M28" s="416"/>
      <c r="N28" s="121"/>
      <c r="O28" s="417"/>
      <c r="P28" s="418"/>
    </row>
    <row r="29" spans="1:16" ht="47.25" customHeight="1">
      <c r="A29" s="99"/>
      <c r="B29" s="100" t="s">
        <v>313</v>
      </c>
      <c r="C29" s="419"/>
      <c r="D29" s="420"/>
      <c r="E29" s="421"/>
      <c r="F29" s="421"/>
      <c r="G29" s="421"/>
      <c r="H29" s="422"/>
      <c r="I29" s="423"/>
      <c r="J29" s="421"/>
      <c r="K29" s="424"/>
      <c r="L29" s="424"/>
      <c r="M29" s="423"/>
      <c r="N29" s="424"/>
      <c r="O29" s="425"/>
      <c r="P29" s="426"/>
    </row>
    <row r="30" spans="1:16" ht="11.25" customHeight="1">
      <c r="A30" s="99"/>
      <c r="B30" s="41" t="s">
        <v>529</v>
      </c>
      <c r="C30" s="119"/>
      <c r="D30" s="43"/>
      <c r="E30" s="120"/>
      <c r="F30" s="120"/>
      <c r="G30" s="120"/>
      <c r="H30" s="415"/>
      <c r="I30" s="416"/>
      <c r="J30" s="120"/>
      <c r="K30" s="427"/>
      <c r="L30" s="427"/>
      <c r="M30" s="416"/>
      <c r="N30" s="427"/>
      <c r="O30" s="417"/>
      <c r="P30" s="418"/>
    </row>
    <row r="31" spans="1:16" ht="11.25" customHeight="1">
      <c r="A31" s="99"/>
      <c r="B31" s="108" t="s">
        <v>530</v>
      </c>
      <c r="C31" s="428"/>
      <c r="D31" s="429"/>
      <c r="E31" s="430"/>
      <c r="F31" s="430"/>
      <c r="G31" s="430"/>
      <c r="H31" s="431"/>
      <c r="I31" s="432"/>
      <c r="J31" s="430"/>
      <c r="K31" s="433"/>
      <c r="L31" s="433"/>
      <c r="M31" s="432"/>
      <c r="N31" s="433"/>
      <c r="O31" s="434"/>
      <c r="P31" s="435"/>
    </row>
    <row r="32" spans="1:16" ht="100.5" customHeight="1">
      <c r="A32" s="577" t="s">
        <v>304</v>
      </c>
      <c r="B32" s="114" t="s">
        <v>531</v>
      </c>
      <c r="C32" s="456">
        <v>10</v>
      </c>
      <c r="D32" s="457" t="s">
        <v>303</v>
      </c>
      <c r="E32" s="458">
        <f aca="true" t="shared" si="1" ref="E32:J32">SUM(E33)</f>
        <v>5256980</v>
      </c>
      <c r="F32" s="458">
        <f t="shared" si="1"/>
        <v>3417037</v>
      </c>
      <c r="G32" s="458">
        <f t="shared" si="1"/>
        <v>1839943</v>
      </c>
      <c r="H32" s="458">
        <f t="shared" si="1"/>
        <v>3498960</v>
      </c>
      <c r="I32" s="458">
        <f t="shared" si="1"/>
        <v>2274324</v>
      </c>
      <c r="J32" s="458">
        <f t="shared" si="1"/>
        <v>964042</v>
      </c>
      <c r="K32" s="458">
        <f aca="true" t="shared" si="2" ref="K32:P32">SUM(K33)</f>
        <v>0</v>
      </c>
      <c r="L32" s="458">
        <f t="shared" si="2"/>
        <v>1310282</v>
      </c>
      <c r="M32" s="458">
        <f t="shared" si="2"/>
        <v>1224636</v>
      </c>
      <c r="N32" s="458">
        <f t="shared" si="2"/>
        <v>0</v>
      </c>
      <c r="O32" s="458">
        <f t="shared" si="2"/>
        <v>0</v>
      </c>
      <c r="P32" s="458">
        <f t="shared" si="2"/>
        <v>1224636</v>
      </c>
    </row>
    <row r="33" spans="1:16" ht="11.25" customHeight="1">
      <c r="A33" s="576"/>
      <c r="B33" s="88" t="s">
        <v>217</v>
      </c>
      <c r="C33" s="116" t="s">
        <v>227</v>
      </c>
      <c r="D33" s="117"/>
      <c r="E33" s="87">
        <f>SUM(F33:G33)</f>
        <v>5256980</v>
      </c>
      <c r="F33" s="87">
        <v>3417037</v>
      </c>
      <c r="G33" s="87">
        <v>1839943</v>
      </c>
      <c r="H33" s="83">
        <f>SUM(I33,M33)</f>
        <v>3498960</v>
      </c>
      <c r="I33" s="84">
        <f>SUM(I34:I35)</f>
        <v>2274324</v>
      </c>
      <c r="J33" s="84">
        <f>SUM(J34:J35)</f>
        <v>964042</v>
      </c>
      <c r="K33" s="86">
        <v>0</v>
      </c>
      <c r="L33" s="86">
        <f>SUM(L35)</f>
        <v>1310282</v>
      </c>
      <c r="M33" s="86">
        <f>SUM(M35)</f>
        <v>1224636</v>
      </c>
      <c r="N33" s="86">
        <f>SUM(N35)</f>
        <v>0</v>
      </c>
      <c r="O33" s="86">
        <f>SUM(O35)</f>
        <v>0</v>
      </c>
      <c r="P33" s="86">
        <f>SUM(P35)</f>
        <v>1224636</v>
      </c>
    </row>
    <row r="34" spans="1:16" ht="11.25" customHeight="1">
      <c r="A34" s="576"/>
      <c r="B34" s="88" t="s">
        <v>538</v>
      </c>
      <c r="C34" s="116"/>
      <c r="D34" s="117"/>
      <c r="E34" s="87" t="s">
        <v>227</v>
      </c>
      <c r="F34" s="87" t="s">
        <v>227</v>
      </c>
      <c r="G34" s="87" t="s">
        <v>227</v>
      </c>
      <c r="H34" s="83" t="s">
        <v>227</v>
      </c>
      <c r="I34" s="84" t="s">
        <v>227</v>
      </c>
      <c r="J34" s="85"/>
      <c r="K34" s="86"/>
      <c r="L34" s="86" t="s">
        <v>227</v>
      </c>
      <c r="M34" s="84" t="s">
        <v>227</v>
      </c>
      <c r="N34" s="86"/>
      <c r="O34" s="87">
        <v>0</v>
      </c>
      <c r="P34" s="87">
        <v>0</v>
      </c>
    </row>
    <row r="35" spans="1:16" ht="11.25" customHeight="1">
      <c r="A35" s="576"/>
      <c r="B35" s="88" t="s">
        <v>209</v>
      </c>
      <c r="C35" s="116"/>
      <c r="D35" s="117"/>
      <c r="E35" s="87">
        <f>SUM(F35:G35)</f>
        <v>3498960</v>
      </c>
      <c r="F35" s="87">
        <v>2274324</v>
      </c>
      <c r="G35" s="87">
        <v>1224636</v>
      </c>
      <c r="H35" s="83">
        <f>SUM(I35,M35)</f>
        <v>3498960</v>
      </c>
      <c r="I35" s="84">
        <f>SUM(J35:L35)</f>
        <v>2274324</v>
      </c>
      <c r="J35" s="85">
        <v>964042</v>
      </c>
      <c r="K35" s="86"/>
      <c r="L35" s="86">
        <f>2274324-964042</f>
        <v>1310282</v>
      </c>
      <c r="M35" s="84">
        <v>1224636</v>
      </c>
      <c r="N35" s="86"/>
      <c r="O35" s="87"/>
      <c r="P35" s="87">
        <v>1224636</v>
      </c>
    </row>
    <row r="36" spans="1:16" ht="11.25" customHeight="1">
      <c r="A36" s="576"/>
      <c r="B36" s="88" t="s">
        <v>186</v>
      </c>
      <c r="C36" s="89"/>
      <c r="D36" s="89"/>
      <c r="E36" s="87">
        <f>SUM(F36:G36)</f>
        <v>674904</v>
      </c>
      <c r="F36" s="87">
        <v>438687.6</v>
      </c>
      <c r="G36" s="87">
        <v>236216.4</v>
      </c>
      <c r="H36" s="83"/>
      <c r="I36" s="84"/>
      <c r="J36" s="85" t="s">
        <v>227</v>
      </c>
      <c r="K36" s="436"/>
      <c r="L36" s="436"/>
      <c r="M36" s="84"/>
      <c r="N36" s="436" t="s">
        <v>227</v>
      </c>
      <c r="O36" s="118"/>
      <c r="P36" s="118">
        <v>0</v>
      </c>
    </row>
    <row r="37" spans="1:16" ht="11.25">
      <c r="A37" s="578"/>
      <c r="B37" s="129" t="s">
        <v>300</v>
      </c>
      <c r="C37" s="437"/>
      <c r="D37" s="437"/>
      <c r="E37" s="438">
        <f>SUM(F37:G37)</f>
        <v>1009550</v>
      </c>
      <c r="F37" s="438">
        <v>656207.5</v>
      </c>
      <c r="G37" s="438">
        <v>353342.5</v>
      </c>
      <c r="H37" s="439"/>
      <c r="I37" s="440"/>
      <c r="J37" s="438"/>
      <c r="K37" s="441"/>
      <c r="L37" s="441"/>
      <c r="M37" s="440"/>
      <c r="N37" s="441"/>
      <c r="O37" s="442"/>
      <c r="P37" s="442"/>
    </row>
    <row r="38" spans="1:16" ht="12.75">
      <c r="A38" s="576" t="s">
        <v>539</v>
      </c>
      <c r="B38" s="41" t="s">
        <v>305</v>
      </c>
      <c r="C38" s="75"/>
      <c r="D38" s="42"/>
      <c r="E38" s="42"/>
      <c r="F38" s="42"/>
      <c r="G38" s="42"/>
      <c r="H38" s="42"/>
      <c r="I38" s="76" t="s">
        <v>227</v>
      </c>
      <c r="J38" s="42"/>
      <c r="K38" s="42"/>
      <c r="L38" s="42"/>
      <c r="M38" s="76" t="s">
        <v>227</v>
      </c>
      <c r="N38" s="106"/>
      <c r="O38" s="106"/>
      <c r="P38" s="107"/>
    </row>
    <row r="39" spans="1:16" ht="22.5">
      <c r="A39" s="576"/>
      <c r="B39" s="108" t="s">
        <v>306</v>
      </c>
      <c r="C39" s="109"/>
      <c r="D39" s="110"/>
      <c r="E39" s="110"/>
      <c r="F39" s="110"/>
      <c r="G39" s="110"/>
      <c r="H39" s="110"/>
      <c r="I39" s="111" t="s">
        <v>227</v>
      </c>
      <c r="J39" s="110"/>
      <c r="K39" s="110"/>
      <c r="L39" s="110"/>
      <c r="M39" s="111" t="s">
        <v>227</v>
      </c>
      <c r="N39" s="112"/>
      <c r="O39" s="112"/>
      <c r="P39" s="113"/>
    </row>
    <row r="40" spans="1:16" ht="23.25" customHeight="1">
      <c r="A40" s="576"/>
      <c r="B40" s="122" t="s">
        <v>316</v>
      </c>
      <c r="C40" s="453">
        <v>10</v>
      </c>
      <c r="D40" s="454" t="s">
        <v>307</v>
      </c>
      <c r="E40" s="455">
        <v>3199450</v>
      </c>
      <c r="F40" s="455">
        <v>799863</v>
      </c>
      <c r="G40" s="455">
        <v>2399587</v>
      </c>
      <c r="H40" s="455">
        <f>SUM(H41)</f>
        <v>3069592</v>
      </c>
      <c r="I40" s="455">
        <f>SUM(I41)</f>
        <v>767398</v>
      </c>
      <c r="J40" s="455" t="s">
        <v>227</v>
      </c>
      <c r="K40" s="455">
        <f>SUM(K41)</f>
        <v>0</v>
      </c>
      <c r="L40" s="455">
        <f>SUM(L43)</f>
        <v>767398</v>
      </c>
      <c r="M40" s="455">
        <f>SUM(M41)</f>
        <v>2302194</v>
      </c>
      <c r="N40" s="455">
        <f>SUM(N41)</f>
        <v>0</v>
      </c>
      <c r="O40" s="455">
        <f>SUM(O41)</f>
        <v>0</v>
      </c>
      <c r="P40" s="455">
        <f>SUM(P41)</f>
        <v>2302194</v>
      </c>
    </row>
    <row r="41" spans="1:16" ht="11.25">
      <c r="A41" s="576"/>
      <c r="B41" s="88" t="s">
        <v>217</v>
      </c>
      <c r="C41" s="116" t="s">
        <v>227</v>
      </c>
      <c r="D41" s="117"/>
      <c r="E41" s="87">
        <v>3199450</v>
      </c>
      <c r="F41" s="87">
        <v>799863</v>
      </c>
      <c r="G41" s="87">
        <v>2399587</v>
      </c>
      <c r="H41" s="83">
        <f>SUM(I41,M41)</f>
        <v>3069592</v>
      </c>
      <c r="I41" s="84">
        <f>SUM(J41:L41)</f>
        <v>767398</v>
      </c>
      <c r="J41" s="85" t="s">
        <v>227</v>
      </c>
      <c r="K41" s="86">
        <v>0</v>
      </c>
      <c r="L41" s="123">
        <f>SUM(L42:L44)</f>
        <v>767398</v>
      </c>
      <c r="M41" s="84">
        <f>SUM(N41:P41)</f>
        <v>2302194</v>
      </c>
      <c r="N41" s="86" t="s">
        <v>227</v>
      </c>
      <c r="O41" s="87">
        <v>0</v>
      </c>
      <c r="P41" s="87">
        <f>SUM(P42:P43)</f>
        <v>2302194</v>
      </c>
    </row>
    <row r="42" spans="1:16" ht="11.25">
      <c r="A42" s="576"/>
      <c r="B42" s="413" t="s">
        <v>538</v>
      </c>
      <c r="C42" s="89"/>
      <c r="D42" s="89"/>
      <c r="E42" s="87" t="s">
        <v>227</v>
      </c>
      <c r="F42" s="87" t="s">
        <v>227</v>
      </c>
      <c r="G42" s="87" t="s">
        <v>227</v>
      </c>
      <c r="H42" s="83">
        <f>SUM(I42,M42)</f>
        <v>0</v>
      </c>
      <c r="I42" s="84">
        <f>SUM(J42:L42)</f>
        <v>0</v>
      </c>
      <c r="J42" s="85" t="s">
        <v>227</v>
      </c>
      <c r="K42" s="95">
        <v>0</v>
      </c>
      <c r="L42" s="87" t="s">
        <v>227</v>
      </c>
      <c r="M42" s="84">
        <f>SUM(N42:P42)</f>
        <v>0</v>
      </c>
      <c r="N42" s="95" t="s">
        <v>227</v>
      </c>
      <c r="O42" s="118">
        <v>0</v>
      </c>
      <c r="P42" s="87" t="s">
        <v>227</v>
      </c>
    </row>
    <row r="43" spans="1:16" ht="12.75">
      <c r="A43" s="570"/>
      <c r="B43" s="413" t="s">
        <v>308</v>
      </c>
      <c r="C43" s="89"/>
      <c r="D43" s="89"/>
      <c r="E43" s="87">
        <f>SUM(F43:G43)</f>
        <v>3069592</v>
      </c>
      <c r="F43" s="87">
        <v>767398</v>
      </c>
      <c r="G43" s="87">
        <v>2302194</v>
      </c>
      <c r="H43" s="83">
        <f>SUM(I43,M43)</f>
        <v>3069592</v>
      </c>
      <c r="I43" s="84">
        <f>SUM(J43:L43)</f>
        <v>767398</v>
      </c>
      <c r="J43" s="96"/>
      <c r="K43" s="96"/>
      <c r="L43" s="87">
        <v>767398</v>
      </c>
      <c r="M43" s="84">
        <f>SUM(N43:P43)</f>
        <v>2302194</v>
      </c>
      <c r="N43" s="96"/>
      <c r="O43" s="96"/>
      <c r="P43" s="87">
        <v>2302194</v>
      </c>
    </row>
    <row r="44" spans="1:16" ht="12" thickBot="1">
      <c r="A44" s="124" t="s">
        <v>227</v>
      </c>
      <c r="B44" s="125" t="s">
        <v>227</v>
      </c>
      <c r="C44" s="589"/>
      <c r="D44" s="591"/>
      <c r="E44" s="591"/>
      <c r="F44" s="591"/>
      <c r="G44" s="591"/>
      <c r="H44" s="591"/>
      <c r="I44" s="591"/>
      <c r="J44" s="591"/>
      <c r="K44" s="591"/>
      <c r="L44" s="591"/>
      <c r="M44" s="591"/>
      <c r="N44" s="591"/>
      <c r="O44" s="591"/>
      <c r="P44" s="592"/>
    </row>
    <row r="45" spans="1:16" s="39" customFormat="1" ht="12" thickBot="1">
      <c r="A45" s="71">
        <v>2</v>
      </c>
      <c r="B45" s="72" t="s">
        <v>309</v>
      </c>
      <c r="C45" s="590" t="s">
        <v>199</v>
      </c>
      <c r="D45" s="590"/>
      <c r="E45" s="73">
        <f>SUM(F45,G45)</f>
        <v>1054261.75</v>
      </c>
      <c r="F45" s="73">
        <f>SUM(F50,F63,F73,F84)</f>
        <v>24000</v>
      </c>
      <c r="G45" s="73">
        <f>SUM(G50,G63,G73,G84)</f>
        <v>1030261.75</v>
      </c>
      <c r="H45" s="73">
        <f>SUM(I45,M45)</f>
        <v>433558.87</v>
      </c>
      <c r="I45" s="73">
        <f>SUM(J45:L45)</f>
        <v>11000</v>
      </c>
      <c r="J45" s="73">
        <f>SUM(J50,J63,J73)</f>
        <v>0</v>
      </c>
      <c r="K45" s="73">
        <f>SUM(K50,K63,K73)</f>
        <v>0</v>
      </c>
      <c r="L45" s="73">
        <f>SUM(L50,L63,L73,L84)</f>
        <v>11000</v>
      </c>
      <c r="M45" s="73">
        <f>SUM(N45:P45)</f>
        <v>422558.87</v>
      </c>
      <c r="N45" s="73">
        <f>SUM(N49,N63,N73,N84)</f>
        <v>0</v>
      </c>
      <c r="O45" s="73">
        <f>SUM(O50)</f>
        <v>0</v>
      </c>
      <c r="P45" s="73">
        <f>SUM(P50,P63,P73)</f>
        <v>422558.87</v>
      </c>
    </row>
    <row r="46" spans="1:16" ht="19.5">
      <c r="A46" s="570" t="s">
        <v>45</v>
      </c>
      <c r="B46" s="411" t="s">
        <v>525</v>
      </c>
      <c r="C46" s="583"/>
      <c r="D46" s="584"/>
      <c r="E46" s="584"/>
      <c r="F46" s="584"/>
      <c r="G46" s="584"/>
      <c r="H46" s="584"/>
      <c r="I46" s="584"/>
      <c r="J46" s="584"/>
      <c r="K46" s="584"/>
      <c r="L46" s="584"/>
      <c r="M46" s="584"/>
      <c r="N46" s="584"/>
      <c r="O46" s="584"/>
      <c r="P46" s="585"/>
    </row>
    <row r="47" spans="1:16" ht="11.25">
      <c r="A47" s="571"/>
      <c r="B47" s="88" t="s">
        <v>526</v>
      </c>
      <c r="C47" s="586"/>
      <c r="D47" s="587"/>
      <c r="E47" s="587"/>
      <c r="F47" s="587"/>
      <c r="G47" s="587"/>
      <c r="H47" s="587"/>
      <c r="I47" s="587"/>
      <c r="J47" s="587"/>
      <c r="K47" s="587"/>
      <c r="L47" s="587"/>
      <c r="M47" s="587"/>
      <c r="N47" s="587"/>
      <c r="O47" s="587"/>
      <c r="P47" s="588"/>
    </row>
    <row r="48" spans="1:16" ht="11.25">
      <c r="A48" s="571"/>
      <c r="B48" s="88" t="s">
        <v>527</v>
      </c>
      <c r="C48" s="586"/>
      <c r="D48" s="587"/>
      <c r="E48" s="587"/>
      <c r="F48" s="587"/>
      <c r="G48" s="587"/>
      <c r="H48" s="587"/>
      <c r="I48" s="587"/>
      <c r="J48" s="587"/>
      <c r="K48" s="587"/>
      <c r="L48" s="587"/>
      <c r="M48" s="587"/>
      <c r="N48" s="587"/>
      <c r="O48" s="587"/>
      <c r="P48" s="588"/>
    </row>
    <row r="49" spans="1:16" ht="37.5">
      <c r="A49" s="571"/>
      <c r="B49" s="412" t="s">
        <v>528</v>
      </c>
      <c r="C49" s="589"/>
      <c r="D49" s="587"/>
      <c r="E49" s="587"/>
      <c r="F49" s="587"/>
      <c r="G49" s="587"/>
      <c r="H49" s="587"/>
      <c r="I49" s="587"/>
      <c r="J49" s="587"/>
      <c r="K49" s="587"/>
      <c r="L49" s="587"/>
      <c r="M49" s="587"/>
      <c r="N49" s="587"/>
      <c r="O49" s="587"/>
      <c r="P49" s="588"/>
    </row>
    <row r="50" spans="1:16" ht="11.25">
      <c r="A50" s="571"/>
      <c r="B50" s="126" t="s">
        <v>217</v>
      </c>
      <c r="C50" s="127"/>
      <c r="D50" s="445">
        <v>801</v>
      </c>
      <c r="E50" s="115">
        <f>SUM(E51:E53)</f>
        <v>1054261.75</v>
      </c>
      <c r="F50" s="115">
        <f>SUM(F51:F53)</f>
        <v>24000</v>
      </c>
      <c r="G50" s="115">
        <f>SUM(G51:G53)</f>
        <v>1030261.75</v>
      </c>
      <c r="H50" s="115">
        <f>SUM(I50,M50)</f>
        <v>433558.87</v>
      </c>
      <c r="I50" s="115">
        <f>SUM(J50:L50)</f>
        <v>11000</v>
      </c>
      <c r="J50" s="115">
        <f>SUM(J51)</f>
        <v>0</v>
      </c>
      <c r="K50" s="115">
        <f>SUM(K51)</f>
        <v>0</v>
      </c>
      <c r="L50" s="115">
        <f>SUM(L51:L53)</f>
        <v>11000</v>
      </c>
      <c r="M50" s="115">
        <f>SUM(M51:M52)</f>
        <v>422558.87</v>
      </c>
      <c r="N50" s="115">
        <f>SUM(N51)</f>
        <v>0</v>
      </c>
      <c r="O50" s="115">
        <f>SUM(O51)</f>
        <v>0</v>
      </c>
      <c r="P50" s="115">
        <f>SUM(P51:P52)</f>
        <v>422558.87</v>
      </c>
    </row>
    <row r="51" spans="1:16" ht="11.25">
      <c r="A51" s="571"/>
      <c r="B51" s="400" t="s">
        <v>297</v>
      </c>
      <c r="C51" s="89"/>
      <c r="D51" s="446" t="s">
        <v>532</v>
      </c>
      <c r="E51" s="87">
        <f>SUM(F51:G51)</f>
        <v>298452.72</v>
      </c>
      <c r="F51" s="87">
        <v>6400</v>
      </c>
      <c r="G51" s="87">
        <v>292052.72</v>
      </c>
      <c r="H51" s="87">
        <f>SUM(I51,M51)</f>
        <v>0</v>
      </c>
      <c r="I51" s="83">
        <f>SUM(J51:L51)</f>
        <v>0</v>
      </c>
      <c r="J51" s="87">
        <v>0</v>
      </c>
      <c r="K51" s="87">
        <v>0</v>
      </c>
      <c r="L51" s="87">
        <v>0</v>
      </c>
      <c r="M51" s="87">
        <v>0</v>
      </c>
      <c r="N51" s="87" t="s">
        <v>227</v>
      </c>
      <c r="O51" s="87" t="s">
        <v>227</v>
      </c>
      <c r="P51" s="87">
        <v>0</v>
      </c>
    </row>
    <row r="52" spans="1:16" ht="11.25">
      <c r="A52" s="571"/>
      <c r="B52" s="406" t="s">
        <v>298</v>
      </c>
      <c r="C52" s="89"/>
      <c r="D52" s="446" t="s">
        <v>532</v>
      </c>
      <c r="E52" s="87">
        <f>SUM(F52:G52)</f>
        <v>433558.87</v>
      </c>
      <c r="F52" s="87">
        <v>11000</v>
      </c>
      <c r="G52" s="87">
        <v>422558.87</v>
      </c>
      <c r="H52" s="87">
        <f>SUM(I52,M52)</f>
        <v>433558.87</v>
      </c>
      <c r="I52" s="83">
        <f>SUM(J52:L52)</f>
        <v>11000</v>
      </c>
      <c r="J52" s="87"/>
      <c r="K52" s="87"/>
      <c r="L52" s="123">
        <v>11000</v>
      </c>
      <c r="M52" s="84">
        <f>SUM(N52:P52)</f>
        <v>422558.87</v>
      </c>
      <c r="N52" s="87"/>
      <c r="O52" s="87"/>
      <c r="P52" s="87">
        <v>422558.87</v>
      </c>
    </row>
    <row r="53" spans="1:16" ht="11.25" customHeight="1">
      <c r="A53" s="571"/>
      <c r="B53" s="410" t="s">
        <v>299</v>
      </c>
      <c r="C53" s="89"/>
      <c r="D53" s="446" t="s">
        <v>532</v>
      </c>
      <c r="E53" s="87">
        <f>SUM(F53:G53)</f>
        <v>322250.16</v>
      </c>
      <c r="F53" s="87">
        <v>6600</v>
      </c>
      <c r="G53" s="87">
        <v>315650.16</v>
      </c>
      <c r="H53" s="87">
        <f>SUM(I53,M53)</f>
        <v>0</v>
      </c>
      <c r="I53" s="83">
        <f>SUM(J53:L53)</f>
        <v>0</v>
      </c>
      <c r="J53" s="118" t="s">
        <v>227</v>
      </c>
      <c r="K53" s="118" t="s">
        <v>227</v>
      </c>
      <c r="L53" s="118">
        <v>0</v>
      </c>
      <c r="M53" s="87">
        <v>0</v>
      </c>
      <c r="N53" s="87" t="s">
        <v>227</v>
      </c>
      <c r="O53" s="118" t="s">
        <v>227</v>
      </c>
      <c r="P53" s="118">
        <v>0</v>
      </c>
    </row>
    <row r="54" spans="1:16" ht="12" customHeight="1">
      <c r="A54" s="571"/>
      <c r="B54" s="88" t="s">
        <v>227</v>
      </c>
      <c r="C54" s="89"/>
      <c r="D54" s="89"/>
      <c r="E54" s="117"/>
      <c r="F54" s="117"/>
      <c r="G54" s="117"/>
      <c r="H54" s="89"/>
      <c r="I54" s="89"/>
      <c r="J54" s="89"/>
      <c r="K54" s="89"/>
      <c r="L54" s="89"/>
      <c r="M54" s="89"/>
      <c r="N54" s="89"/>
      <c r="O54" s="89"/>
      <c r="P54" s="89"/>
    </row>
    <row r="55" spans="1:16" ht="11.25">
      <c r="A55" s="128" t="s">
        <v>310</v>
      </c>
      <c r="B55" s="129" t="s">
        <v>311</v>
      </c>
      <c r="C55" s="573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5"/>
    </row>
    <row r="56" spans="1:16" ht="11.25">
      <c r="A56" s="407"/>
      <c r="B56" s="408"/>
      <c r="C56" s="109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409"/>
    </row>
    <row r="57" spans="1:16" s="39" customFormat="1" ht="15" customHeight="1">
      <c r="A57" s="572" t="s">
        <v>312</v>
      </c>
      <c r="B57" s="572"/>
      <c r="C57" s="581" t="s">
        <v>199</v>
      </c>
      <c r="D57" s="582"/>
      <c r="E57" s="443">
        <f>SUM(E10,E45)</f>
        <v>43587951.75</v>
      </c>
      <c r="F57" s="443">
        <f aca="true" t="shared" si="3" ref="F57:P57">SUM(F10,F45)</f>
        <v>11895504</v>
      </c>
      <c r="G57" s="443">
        <f t="shared" si="3"/>
        <v>31692447.75</v>
      </c>
      <c r="H57" s="443">
        <f t="shared" si="3"/>
        <v>19863085.48</v>
      </c>
      <c r="I57" s="443">
        <f t="shared" si="3"/>
        <v>5535615.15</v>
      </c>
      <c r="J57" s="443">
        <f t="shared" si="3"/>
        <v>964042</v>
      </c>
      <c r="K57" s="443">
        <f t="shared" si="3"/>
        <v>0</v>
      </c>
      <c r="L57" s="443">
        <f t="shared" si="3"/>
        <v>4571573.15</v>
      </c>
      <c r="M57" s="443">
        <f t="shared" si="3"/>
        <v>14327470.33</v>
      </c>
      <c r="N57" s="443">
        <f t="shared" si="3"/>
        <v>0</v>
      </c>
      <c r="O57" s="443">
        <f t="shared" si="3"/>
        <v>0</v>
      </c>
      <c r="P57" s="443">
        <f t="shared" si="3"/>
        <v>14327470.33</v>
      </c>
    </row>
    <row r="59" spans="1:10" ht="11.25">
      <c r="A59" s="569" t="s">
        <v>227</v>
      </c>
      <c r="B59" s="569"/>
      <c r="C59" s="569"/>
      <c r="D59" s="569"/>
      <c r="E59" s="569"/>
      <c r="F59" s="569"/>
      <c r="G59" s="569"/>
      <c r="H59" s="569"/>
      <c r="I59" s="569"/>
      <c r="J59" s="569"/>
    </row>
    <row r="60" spans="1:13" ht="11.25">
      <c r="A60" s="130" t="s">
        <v>227</v>
      </c>
      <c r="B60" s="130"/>
      <c r="C60" s="130"/>
      <c r="D60" s="130"/>
      <c r="E60" s="130"/>
      <c r="F60" s="130"/>
      <c r="G60" s="130"/>
      <c r="H60" s="130"/>
      <c r="I60" s="130"/>
      <c r="J60" s="130"/>
      <c r="M60" s="38" t="s">
        <v>227</v>
      </c>
    </row>
    <row r="61" spans="1:5" ht="11.25">
      <c r="A61" s="130"/>
      <c r="B61" s="130"/>
      <c r="C61" s="130"/>
      <c r="D61" s="130"/>
      <c r="E61" s="130"/>
    </row>
    <row r="63" ht="12">
      <c r="B63" s="131" t="s">
        <v>227</v>
      </c>
    </row>
    <row r="64" ht="11.25">
      <c r="B64" s="132" t="s">
        <v>227</v>
      </c>
    </row>
    <row r="65" ht="11.25">
      <c r="B65" s="132" t="s">
        <v>227</v>
      </c>
    </row>
    <row r="66" ht="12.75">
      <c r="B66" s="133" t="s">
        <v>227</v>
      </c>
    </row>
  </sheetData>
  <sheetProtection/>
  <mergeCells count="32">
    <mergeCell ref="G4:G8"/>
    <mergeCell ref="F4:F8"/>
    <mergeCell ref="D3:D8"/>
    <mergeCell ref="H3:P3"/>
    <mergeCell ref="A1:P1"/>
    <mergeCell ref="C57:D57"/>
    <mergeCell ref="C46:P49"/>
    <mergeCell ref="C45:D45"/>
    <mergeCell ref="C44:P44"/>
    <mergeCell ref="H4:P4"/>
    <mergeCell ref="F3:G3"/>
    <mergeCell ref="E3:E8"/>
    <mergeCell ref="J7:L7"/>
    <mergeCell ref="C10:D10"/>
    <mergeCell ref="A59:J59"/>
    <mergeCell ref="A11:A19"/>
    <mergeCell ref="A46:A54"/>
    <mergeCell ref="A57:B57"/>
    <mergeCell ref="C55:P55"/>
    <mergeCell ref="A38:A43"/>
    <mergeCell ref="A32:A37"/>
    <mergeCell ref="A20:A27"/>
    <mergeCell ref="A3:A8"/>
    <mergeCell ref="I7:I8"/>
    <mergeCell ref="H5:H8"/>
    <mergeCell ref="N7:P7"/>
    <mergeCell ref="I6:L6"/>
    <mergeCell ref="M7:M8"/>
    <mergeCell ref="I5:P5"/>
    <mergeCell ref="M6:P6"/>
    <mergeCell ref="C3:C8"/>
    <mergeCell ref="B3:B8"/>
  </mergeCells>
  <printOptions/>
  <pageMargins left="0.3937007874015748" right="0.3937007874015748" top="1.141732283464567" bottom="0.5905511811023623" header="0.3937007874015748" footer="0.5118110236220472"/>
  <pageSetup horizontalDpi="300" verticalDpi="300" orientation="landscape" paperSize="9" scale="85" r:id="rId1"/>
  <headerFooter alignWithMargins="0">
    <oddHeader>&amp;C
 &amp;R&amp;9Tabela nr 7
do Uchwały Nr LIII/415/2010
 Rady Miejskiej w Łowiczu 
z dnia 21 stycznia 2010 roku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6">
      <selection activeCell="E9" sqref="E9"/>
    </sheetView>
  </sheetViews>
  <sheetFormatPr defaultColWidth="9.00390625" defaultRowHeight="12.75"/>
  <cols>
    <col min="1" max="1" width="5.625" style="134" customWidth="1"/>
    <col min="2" max="2" width="6.875" style="134" customWidth="1"/>
    <col min="3" max="3" width="7.75390625" style="134" customWidth="1"/>
    <col min="4" max="4" width="5.375" style="134" customWidth="1"/>
    <col min="5" max="5" width="22.875" style="134" customWidth="1"/>
    <col min="6" max="6" width="13.25390625" style="134" customWidth="1"/>
    <col min="7" max="7" width="12.75390625" style="134" customWidth="1"/>
    <col min="8" max="8" width="13.375" style="134" customWidth="1"/>
    <col min="9" max="9" width="12.75390625" style="134" customWidth="1"/>
    <col min="10" max="10" width="2.625" style="134" customWidth="1"/>
    <col min="11" max="11" width="10.125" style="134" customWidth="1"/>
    <col min="12" max="12" width="12.25390625" style="134" customWidth="1"/>
    <col min="13" max="13" width="13.875" style="134" customWidth="1"/>
    <col min="14" max="16384" width="9.125" style="134" customWidth="1"/>
  </cols>
  <sheetData>
    <row r="1" spans="1:13" ht="18">
      <c r="A1" s="557" t="s">
        <v>190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</row>
    <row r="2" spans="1:13" ht="10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35" t="s">
        <v>27</v>
      </c>
    </row>
    <row r="3" spans="1:13" s="136" customFormat="1" ht="19.5" customHeight="1">
      <c r="A3" s="555" t="s">
        <v>38</v>
      </c>
      <c r="B3" s="555" t="s">
        <v>2</v>
      </c>
      <c r="C3" s="555" t="s">
        <v>181</v>
      </c>
      <c r="D3" s="555" t="s">
        <v>325</v>
      </c>
      <c r="E3" s="556" t="s">
        <v>191</v>
      </c>
      <c r="F3" s="556" t="s">
        <v>184</v>
      </c>
      <c r="G3" s="559" t="s">
        <v>183</v>
      </c>
      <c r="H3" s="559"/>
      <c r="I3" s="559"/>
      <c r="J3" s="559"/>
      <c r="K3" s="559"/>
      <c r="L3" s="559"/>
      <c r="M3" s="559" t="s">
        <v>192</v>
      </c>
    </row>
    <row r="4" spans="1:13" s="136" customFormat="1" ht="19.5" customHeight="1">
      <c r="A4" s="555"/>
      <c r="B4" s="555"/>
      <c r="C4" s="555"/>
      <c r="D4" s="555"/>
      <c r="E4" s="556"/>
      <c r="F4" s="556"/>
      <c r="G4" s="559" t="s">
        <v>449</v>
      </c>
      <c r="H4" s="559" t="s">
        <v>185</v>
      </c>
      <c r="I4" s="559"/>
      <c r="J4" s="559"/>
      <c r="K4" s="559"/>
      <c r="L4" s="559"/>
      <c r="M4" s="559"/>
    </row>
    <row r="5" spans="1:13" s="136" customFormat="1" ht="29.25" customHeight="1">
      <c r="A5" s="555"/>
      <c r="B5" s="555"/>
      <c r="C5" s="555"/>
      <c r="D5" s="555"/>
      <c r="E5" s="556"/>
      <c r="F5" s="556"/>
      <c r="G5" s="559"/>
      <c r="H5" s="559" t="s">
        <v>187</v>
      </c>
      <c r="I5" s="559" t="s">
        <v>193</v>
      </c>
      <c r="J5" s="596" t="s">
        <v>194</v>
      </c>
      <c r="K5" s="597"/>
      <c r="L5" s="559" t="s">
        <v>195</v>
      </c>
      <c r="M5" s="559"/>
    </row>
    <row r="6" spans="1:13" s="136" customFormat="1" ht="19.5" customHeight="1">
      <c r="A6" s="555"/>
      <c r="B6" s="555"/>
      <c r="C6" s="555"/>
      <c r="D6" s="555"/>
      <c r="E6" s="556"/>
      <c r="F6" s="556"/>
      <c r="G6" s="559"/>
      <c r="H6" s="559"/>
      <c r="I6" s="559"/>
      <c r="J6" s="598"/>
      <c r="K6" s="599"/>
      <c r="L6" s="559"/>
      <c r="M6" s="559"/>
    </row>
    <row r="7" spans="1:13" s="136" customFormat="1" ht="19.5" customHeight="1">
      <c r="A7" s="555"/>
      <c r="B7" s="555"/>
      <c r="C7" s="555"/>
      <c r="D7" s="555"/>
      <c r="E7" s="556"/>
      <c r="F7" s="556"/>
      <c r="G7" s="559"/>
      <c r="H7" s="559"/>
      <c r="I7" s="559"/>
      <c r="J7" s="600"/>
      <c r="K7" s="601"/>
      <c r="L7" s="559"/>
      <c r="M7" s="559"/>
    </row>
    <row r="8" spans="1:13" ht="7.5" customHeight="1">
      <c r="A8" s="137">
        <v>1</v>
      </c>
      <c r="B8" s="137">
        <v>2</v>
      </c>
      <c r="C8" s="137">
        <v>3</v>
      </c>
      <c r="D8" s="137">
        <v>4</v>
      </c>
      <c r="E8" s="137">
        <v>5</v>
      </c>
      <c r="F8" s="137">
        <v>6</v>
      </c>
      <c r="G8" s="137">
        <v>7</v>
      </c>
      <c r="H8" s="137">
        <v>8</v>
      </c>
      <c r="I8" s="137">
        <v>9</v>
      </c>
      <c r="J8" s="594">
        <v>10</v>
      </c>
      <c r="K8" s="595"/>
      <c r="L8" s="137">
        <v>11</v>
      </c>
      <c r="M8" s="137">
        <v>12</v>
      </c>
    </row>
    <row r="9" spans="1:13" ht="51" customHeight="1">
      <c r="A9" s="154" t="s">
        <v>7</v>
      </c>
      <c r="B9" s="155">
        <v>400</v>
      </c>
      <c r="C9" s="155">
        <v>40002</v>
      </c>
      <c r="D9" s="155"/>
      <c r="E9" s="156" t="s">
        <v>326</v>
      </c>
      <c r="F9" s="157">
        <v>8432134</v>
      </c>
      <c r="G9" s="158">
        <f aca="true" t="shared" si="0" ref="G9:G42">SUM(H9:L9)</f>
        <v>8432134</v>
      </c>
      <c r="H9" s="157">
        <v>1375683</v>
      </c>
      <c r="I9" s="166" t="s">
        <v>227</v>
      </c>
      <c r="J9" s="159" t="s">
        <v>323</v>
      </c>
      <c r="K9" s="351" t="s">
        <v>227</v>
      </c>
      <c r="L9" s="160">
        <v>7056451</v>
      </c>
      <c r="M9" s="477" t="s">
        <v>548</v>
      </c>
    </row>
    <row r="10" spans="1:13" ht="53.25" customHeight="1">
      <c r="A10" s="154" t="s">
        <v>8</v>
      </c>
      <c r="B10" s="155">
        <v>600</v>
      </c>
      <c r="C10" s="155">
        <v>60004</v>
      </c>
      <c r="D10" s="155"/>
      <c r="E10" s="156" t="s">
        <v>327</v>
      </c>
      <c r="F10" s="157">
        <v>686250</v>
      </c>
      <c r="G10" s="158">
        <f t="shared" si="0"/>
        <v>686250</v>
      </c>
      <c r="H10" s="157" t="s">
        <v>227</v>
      </c>
      <c r="I10" s="158">
        <v>686250</v>
      </c>
      <c r="J10" s="159" t="s">
        <v>323</v>
      </c>
      <c r="K10" s="161" t="s">
        <v>227</v>
      </c>
      <c r="L10" s="158"/>
      <c r="M10" s="477" t="s">
        <v>548</v>
      </c>
    </row>
    <row r="11" spans="1:13" ht="53.25" customHeight="1">
      <c r="A11" s="154" t="s">
        <v>9</v>
      </c>
      <c r="B11" s="155">
        <v>600</v>
      </c>
      <c r="C11" s="155">
        <v>60016</v>
      </c>
      <c r="D11" s="155"/>
      <c r="E11" s="162" t="s">
        <v>536</v>
      </c>
      <c r="F11" s="157">
        <v>38000</v>
      </c>
      <c r="G11" s="158">
        <f t="shared" si="0"/>
        <v>38000</v>
      </c>
      <c r="H11" s="157">
        <v>4000</v>
      </c>
      <c r="I11" s="158">
        <v>34000</v>
      </c>
      <c r="J11" s="159" t="s">
        <v>323</v>
      </c>
      <c r="K11" s="161"/>
      <c r="L11" s="158"/>
      <c r="M11" s="477" t="s">
        <v>548</v>
      </c>
    </row>
    <row r="12" spans="1:13" ht="53.25" customHeight="1">
      <c r="A12" s="154" t="s">
        <v>1</v>
      </c>
      <c r="B12" s="155">
        <v>600</v>
      </c>
      <c r="C12" s="155">
        <v>60016</v>
      </c>
      <c r="D12" s="155"/>
      <c r="E12" s="162" t="s">
        <v>460</v>
      </c>
      <c r="F12" s="157">
        <v>100000</v>
      </c>
      <c r="G12" s="158">
        <f t="shared" si="0"/>
        <v>100000</v>
      </c>
      <c r="H12" s="158">
        <v>10000</v>
      </c>
      <c r="I12" s="158">
        <v>90000</v>
      </c>
      <c r="J12" s="159" t="s">
        <v>323</v>
      </c>
      <c r="K12" s="161" t="s">
        <v>227</v>
      </c>
      <c r="L12" s="158"/>
      <c r="M12" s="477" t="s">
        <v>548</v>
      </c>
    </row>
    <row r="13" spans="1:13" ht="53.25" customHeight="1">
      <c r="A13" s="154" t="s">
        <v>10</v>
      </c>
      <c r="B13" s="155">
        <v>600</v>
      </c>
      <c r="C13" s="155">
        <v>60016</v>
      </c>
      <c r="D13" s="155"/>
      <c r="E13" s="156" t="s">
        <v>328</v>
      </c>
      <c r="F13" s="157">
        <v>30000</v>
      </c>
      <c r="G13" s="158">
        <f t="shared" si="0"/>
        <v>30000</v>
      </c>
      <c r="H13" s="158">
        <v>3000</v>
      </c>
      <c r="I13" s="158">
        <v>27000</v>
      </c>
      <c r="J13" s="159" t="s">
        <v>323</v>
      </c>
      <c r="K13" s="161" t="s">
        <v>227</v>
      </c>
      <c r="L13" s="157" t="s">
        <v>227</v>
      </c>
      <c r="M13" s="477" t="s">
        <v>548</v>
      </c>
    </row>
    <row r="14" spans="1:13" ht="77.25" customHeight="1">
      <c r="A14" s="154" t="s">
        <v>13</v>
      </c>
      <c r="B14" s="155">
        <v>600</v>
      </c>
      <c r="C14" s="155">
        <v>60016</v>
      </c>
      <c r="D14" s="155"/>
      <c r="E14" s="444" t="s">
        <v>524</v>
      </c>
      <c r="F14" s="157">
        <v>3498960</v>
      </c>
      <c r="G14" s="158">
        <f t="shared" si="0"/>
        <v>3498960</v>
      </c>
      <c r="H14" s="157">
        <v>1310282</v>
      </c>
      <c r="I14" s="157">
        <v>964042</v>
      </c>
      <c r="J14" s="159" t="s">
        <v>323</v>
      </c>
      <c r="K14" s="161" t="s">
        <v>227</v>
      </c>
      <c r="L14" s="158">
        <v>1224636</v>
      </c>
      <c r="M14" s="477" t="s">
        <v>548</v>
      </c>
    </row>
    <row r="15" spans="1:13" ht="53.25" customHeight="1">
      <c r="A15" s="154" t="s">
        <v>15</v>
      </c>
      <c r="B15" s="155">
        <v>600</v>
      </c>
      <c r="C15" s="155">
        <v>60016</v>
      </c>
      <c r="D15" s="155"/>
      <c r="E15" s="156" t="s">
        <v>329</v>
      </c>
      <c r="F15" s="157">
        <v>75000</v>
      </c>
      <c r="G15" s="158">
        <f t="shared" si="0"/>
        <v>75000</v>
      </c>
      <c r="H15" s="157">
        <v>8000</v>
      </c>
      <c r="I15" s="158">
        <v>67000</v>
      </c>
      <c r="J15" s="159" t="s">
        <v>323</v>
      </c>
      <c r="K15" s="161" t="s">
        <v>227</v>
      </c>
      <c r="L15" s="158"/>
      <c r="M15" s="477" t="s">
        <v>548</v>
      </c>
    </row>
    <row r="16" spans="1:13" ht="53.25" customHeight="1">
      <c r="A16" s="154" t="s">
        <v>21</v>
      </c>
      <c r="B16" s="155">
        <v>600</v>
      </c>
      <c r="C16" s="155">
        <v>60016</v>
      </c>
      <c r="D16" s="155"/>
      <c r="E16" s="156" t="s">
        <v>330</v>
      </c>
      <c r="F16" s="157">
        <v>100000</v>
      </c>
      <c r="G16" s="158">
        <f t="shared" si="0"/>
        <v>100000</v>
      </c>
      <c r="H16" s="158">
        <v>10000</v>
      </c>
      <c r="I16" s="158">
        <v>90000</v>
      </c>
      <c r="J16" s="159" t="s">
        <v>323</v>
      </c>
      <c r="K16" s="161" t="s">
        <v>227</v>
      </c>
      <c r="L16" s="158"/>
      <c r="M16" s="477" t="s">
        <v>548</v>
      </c>
    </row>
    <row r="17" spans="1:13" ht="60.75" customHeight="1">
      <c r="A17" s="154" t="s">
        <v>331</v>
      </c>
      <c r="B17" s="155">
        <v>600</v>
      </c>
      <c r="C17" s="155">
        <v>60016</v>
      </c>
      <c r="D17" s="155"/>
      <c r="E17" s="162" t="s">
        <v>457</v>
      </c>
      <c r="F17" s="157">
        <v>550000</v>
      </c>
      <c r="G17" s="158">
        <f t="shared" si="0"/>
        <v>550000</v>
      </c>
      <c r="H17" s="158">
        <v>50000</v>
      </c>
      <c r="I17" s="158">
        <f>350000+150000</f>
        <v>500000</v>
      </c>
      <c r="J17" s="159" t="s">
        <v>323</v>
      </c>
      <c r="K17" s="161" t="s">
        <v>227</v>
      </c>
      <c r="L17" s="158"/>
      <c r="M17" s="477" t="s">
        <v>548</v>
      </c>
    </row>
    <row r="18" spans="1:13" ht="60.75" customHeight="1">
      <c r="A18" s="154" t="s">
        <v>333</v>
      </c>
      <c r="B18" s="155">
        <v>600</v>
      </c>
      <c r="C18" s="155">
        <v>60016</v>
      </c>
      <c r="D18" s="155"/>
      <c r="E18" s="156" t="s">
        <v>332</v>
      </c>
      <c r="F18" s="157">
        <v>200000</v>
      </c>
      <c r="G18" s="158">
        <f t="shared" si="0"/>
        <v>200000</v>
      </c>
      <c r="H18" s="158">
        <v>20000</v>
      </c>
      <c r="I18" s="158">
        <v>180000</v>
      </c>
      <c r="J18" s="159" t="s">
        <v>323</v>
      </c>
      <c r="K18" s="161" t="s">
        <v>227</v>
      </c>
      <c r="L18" s="158"/>
      <c r="M18" s="477" t="s">
        <v>548</v>
      </c>
    </row>
    <row r="19" spans="1:13" ht="114.75">
      <c r="A19" s="154" t="s">
        <v>198</v>
      </c>
      <c r="B19" s="155">
        <v>600</v>
      </c>
      <c r="C19" s="155">
        <v>60016</v>
      </c>
      <c r="D19" s="155"/>
      <c r="E19" s="163" t="s">
        <v>334</v>
      </c>
      <c r="F19" s="164">
        <v>4428840.61</v>
      </c>
      <c r="G19" s="165">
        <f t="shared" si="0"/>
        <v>4428840.609999999</v>
      </c>
      <c r="H19" s="165">
        <v>1107210.15</v>
      </c>
      <c r="I19" s="166"/>
      <c r="J19" s="159" t="s">
        <v>323</v>
      </c>
      <c r="K19" s="351" t="s">
        <v>227</v>
      </c>
      <c r="L19" s="160">
        <v>3321630.46</v>
      </c>
      <c r="M19" s="477" t="s">
        <v>548</v>
      </c>
    </row>
    <row r="20" spans="1:13" ht="54.75" customHeight="1">
      <c r="A20" s="154" t="s">
        <v>335</v>
      </c>
      <c r="B20" s="155">
        <v>600</v>
      </c>
      <c r="C20" s="155">
        <v>60016</v>
      </c>
      <c r="D20" s="155"/>
      <c r="E20" s="162" t="s">
        <v>549</v>
      </c>
      <c r="F20" s="157">
        <v>250000</v>
      </c>
      <c r="G20" s="158">
        <f t="shared" si="0"/>
        <v>250000</v>
      </c>
      <c r="H20" s="158">
        <v>25000</v>
      </c>
      <c r="I20" s="158">
        <v>225000</v>
      </c>
      <c r="J20" s="159" t="s">
        <v>323</v>
      </c>
      <c r="K20" s="161" t="s">
        <v>227</v>
      </c>
      <c r="L20" s="158"/>
      <c r="M20" s="477" t="s">
        <v>548</v>
      </c>
    </row>
    <row r="21" spans="1:13" ht="62.25" customHeight="1">
      <c r="A21" s="154" t="s">
        <v>336</v>
      </c>
      <c r="B21" s="155">
        <v>600</v>
      </c>
      <c r="C21" s="155">
        <v>60016</v>
      </c>
      <c r="D21" s="155"/>
      <c r="E21" s="162" t="s">
        <v>550</v>
      </c>
      <c r="F21" s="157">
        <v>150000</v>
      </c>
      <c r="G21" s="158">
        <f t="shared" si="0"/>
        <v>150000</v>
      </c>
      <c r="H21" s="158">
        <v>80000</v>
      </c>
      <c r="I21" s="157">
        <v>70000</v>
      </c>
      <c r="J21" s="159" t="s">
        <v>323</v>
      </c>
      <c r="K21" s="161" t="s">
        <v>227</v>
      </c>
      <c r="L21" s="158"/>
      <c r="M21" s="477" t="s">
        <v>548</v>
      </c>
    </row>
    <row r="22" spans="1:13" ht="51.75" customHeight="1">
      <c r="A22" s="154" t="s">
        <v>337</v>
      </c>
      <c r="B22" s="155">
        <v>600</v>
      </c>
      <c r="C22" s="155">
        <v>60016</v>
      </c>
      <c r="D22" s="155"/>
      <c r="E22" s="156" t="s">
        <v>338</v>
      </c>
      <c r="F22" s="157">
        <v>100000</v>
      </c>
      <c r="G22" s="158">
        <f t="shared" si="0"/>
        <v>100000</v>
      </c>
      <c r="H22" s="158">
        <v>10000</v>
      </c>
      <c r="I22" s="158">
        <v>90000</v>
      </c>
      <c r="J22" s="159" t="s">
        <v>323</v>
      </c>
      <c r="K22" s="161" t="s">
        <v>227</v>
      </c>
      <c r="L22" s="158"/>
      <c r="M22" s="477" t="s">
        <v>548</v>
      </c>
    </row>
    <row r="23" spans="1:13" ht="51.75" customHeight="1">
      <c r="A23" s="154" t="s">
        <v>339</v>
      </c>
      <c r="B23" s="155">
        <v>600</v>
      </c>
      <c r="C23" s="155">
        <v>60017</v>
      </c>
      <c r="D23" s="155"/>
      <c r="E23" s="162" t="s">
        <v>547</v>
      </c>
      <c r="F23" s="157">
        <v>150000</v>
      </c>
      <c r="G23" s="158">
        <f t="shared" si="0"/>
        <v>150000</v>
      </c>
      <c r="H23" s="158">
        <v>15000</v>
      </c>
      <c r="I23" s="158">
        <v>135000</v>
      </c>
      <c r="J23" s="159"/>
      <c r="K23" s="161"/>
      <c r="L23" s="158"/>
      <c r="M23" s="477" t="s">
        <v>548</v>
      </c>
    </row>
    <row r="24" spans="1:13" ht="56.25" customHeight="1">
      <c r="A24" s="154" t="s">
        <v>341</v>
      </c>
      <c r="B24" s="155">
        <v>700</v>
      </c>
      <c r="C24" s="168">
        <v>70001</v>
      </c>
      <c r="D24" s="155"/>
      <c r="E24" s="167" t="s">
        <v>340</v>
      </c>
      <c r="F24" s="157">
        <v>20000</v>
      </c>
      <c r="G24" s="157">
        <f t="shared" si="0"/>
        <v>20000</v>
      </c>
      <c r="H24" s="157">
        <v>2000</v>
      </c>
      <c r="I24" s="157">
        <v>18000</v>
      </c>
      <c r="J24" s="159" t="s">
        <v>323</v>
      </c>
      <c r="K24" s="161" t="s">
        <v>227</v>
      </c>
      <c r="L24" s="158"/>
      <c r="M24" s="162" t="s">
        <v>563</v>
      </c>
    </row>
    <row r="25" spans="1:13" ht="51" customHeight="1">
      <c r="A25" s="154" t="s">
        <v>342</v>
      </c>
      <c r="B25" s="155">
        <v>700</v>
      </c>
      <c r="C25" s="155">
        <v>70005</v>
      </c>
      <c r="D25" s="155"/>
      <c r="E25" s="156" t="s">
        <v>197</v>
      </c>
      <c r="F25" s="157">
        <v>1000000</v>
      </c>
      <c r="G25" s="158">
        <f t="shared" si="0"/>
        <v>1000000</v>
      </c>
      <c r="H25" s="158">
        <v>70000</v>
      </c>
      <c r="I25" s="158">
        <v>930000</v>
      </c>
      <c r="J25" s="159" t="s">
        <v>323</v>
      </c>
      <c r="K25" s="161" t="s">
        <v>227</v>
      </c>
      <c r="L25" s="158"/>
      <c r="M25" s="477" t="s">
        <v>548</v>
      </c>
    </row>
    <row r="26" spans="1:13" ht="51" customHeight="1">
      <c r="A26" s="154" t="s">
        <v>344</v>
      </c>
      <c r="B26" s="155">
        <v>700</v>
      </c>
      <c r="C26" s="155">
        <v>70005</v>
      </c>
      <c r="D26" s="155"/>
      <c r="E26" s="156" t="s">
        <v>343</v>
      </c>
      <c r="F26" s="157">
        <v>3000000</v>
      </c>
      <c r="G26" s="158">
        <f t="shared" si="0"/>
        <v>3000000</v>
      </c>
      <c r="H26" s="158">
        <v>100000</v>
      </c>
      <c r="I26" s="158">
        <v>2900000</v>
      </c>
      <c r="J26" s="159" t="s">
        <v>323</v>
      </c>
      <c r="K26" s="161" t="s">
        <v>227</v>
      </c>
      <c r="L26" s="158"/>
      <c r="M26" s="477" t="s">
        <v>548</v>
      </c>
    </row>
    <row r="27" spans="1:13" ht="51" customHeight="1">
      <c r="A27" s="154" t="s">
        <v>346</v>
      </c>
      <c r="B27" s="155">
        <v>750</v>
      </c>
      <c r="C27" s="155">
        <v>75023</v>
      </c>
      <c r="D27" s="155"/>
      <c r="E27" s="163" t="s">
        <v>345</v>
      </c>
      <c r="F27" s="157">
        <v>50000</v>
      </c>
      <c r="G27" s="158">
        <f t="shared" si="0"/>
        <v>50000</v>
      </c>
      <c r="H27" s="158">
        <v>5000</v>
      </c>
      <c r="I27" s="158">
        <v>45000</v>
      </c>
      <c r="J27" s="159" t="s">
        <v>323</v>
      </c>
      <c r="K27" s="161" t="s">
        <v>227</v>
      </c>
      <c r="L27" s="158"/>
      <c r="M27" s="477" t="s">
        <v>548</v>
      </c>
    </row>
    <row r="28" spans="1:13" ht="51" customHeight="1">
      <c r="A28" s="154" t="s">
        <v>347</v>
      </c>
      <c r="B28" s="155">
        <v>750</v>
      </c>
      <c r="C28" s="155">
        <v>75023</v>
      </c>
      <c r="D28" s="155"/>
      <c r="E28" s="163" t="s">
        <v>458</v>
      </c>
      <c r="F28" s="157">
        <v>1000000</v>
      </c>
      <c r="G28" s="158">
        <f t="shared" si="0"/>
        <v>1000000</v>
      </c>
      <c r="H28" s="158">
        <v>100000</v>
      </c>
      <c r="I28" s="158">
        <v>900000</v>
      </c>
      <c r="J28" s="159" t="s">
        <v>323</v>
      </c>
      <c r="K28" s="161" t="s">
        <v>227</v>
      </c>
      <c r="L28" s="158"/>
      <c r="M28" s="477" t="s">
        <v>548</v>
      </c>
    </row>
    <row r="29" spans="1:13" ht="51" customHeight="1">
      <c r="A29" s="154" t="s">
        <v>349</v>
      </c>
      <c r="B29" s="155">
        <v>750</v>
      </c>
      <c r="C29" s="155">
        <v>75095</v>
      </c>
      <c r="D29" s="155"/>
      <c r="E29" s="167" t="s">
        <v>348</v>
      </c>
      <c r="F29" s="157">
        <v>3069592</v>
      </c>
      <c r="G29" s="158">
        <f t="shared" si="0"/>
        <v>3069592</v>
      </c>
      <c r="H29" s="158">
        <v>767398</v>
      </c>
      <c r="I29" s="158" t="s">
        <v>227</v>
      </c>
      <c r="J29" s="159" t="s">
        <v>323</v>
      </c>
      <c r="K29" s="361" t="s">
        <v>227</v>
      </c>
      <c r="L29" s="158">
        <v>2302194</v>
      </c>
      <c r="M29" s="477" t="s">
        <v>548</v>
      </c>
    </row>
    <row r="30" spans="1:13" ht="51" customHeight="1">
      <c r="A30" s="154" t="s">
        <v>351</v>
      </c>
      <c r="B30" s="155">
        <v>754</v>
      </c>
      <c r="C30" s="155">
        <v>75421</v>
      </c>
      <c r="D30" s="155"/>
      <c r="E30" s="156" t="s">
        <v>350</v>
      </c>
      <c r="F30" s="157">
        <v>17100</v>
      </c>
      <c r="G30" s="158">
        <f t="shared" si="0"/>
        <v>17100</v>
      </c>
      <c r="H30" s="158">
        <v>2100</v>
      </c>
      <c r="I30" s="158">
        <v>15000</v>
      </c>
      <c r="J30" s="159" t="s">
        <v>323</v>
      </c>
      <c r="K30" s="161" t="s">
        <v>227</v>
      </c>
      <c r="L30" s="158"/>
      <c r="M30" s="477" t="s">
        <v>548</v>
      </c>
    </row>
    <row r="31" spans="1:13" ht="51" customHeight="1">
      <c r="A31" s="154" t="s">
        <v>353</v>
      </c>
      <c r="B31" s="155">
        <v>754</v>
      </c>
      <c r="C31" s="155">
        <v>75495</v>
      </c>
      <c r="D31" s="155"/>
      <c r="E31" s="156" t="s">
        <v>352</v>
      </c>
      <c r="F31" s="157">
        <v>282800</v>
      </c>
      <c r="G31" s="158">
        <f t="shared" si="0"/>
        <v>282800</v>
      </c>
      <c r="H31" s="158">
        <v>27800</v>
      </c>
      <c r="I31" s="158">
        <v>255000</v>
      </c>
      <c r="J31" s="159" t="s">
        <v>323</v>
      </c>
      <c r="K31" s="161" t="s">
        <v>227</v>
      </c>
      <c r="L31" s="158"/>
      <c r="M31" s="477" t="s">
        <v>548</v>
      </c>
    </row>
    <row r="32" spans="1:13" ht="52.5" customHeight="1">
      <c r="A32" s="154" t="s">
        <v>355</v>
      </c>
      <c r="B32" s="155">
        <v>758</v>
      </c>
      <c r="C32" s="155">
        <v>75818</v>
      </c>
      <c r="D32" s="155"/>
      <c r="E32" s="156" t="s">
        <v>354</v>
      </c>
      <c r="F32" s="157">
        <v>350000</v>
      </c>
      <c r="G32" s="158">
        <f t="shared" si="0"/>
        <v>350000</v>
      </c>
      <c r="H32" s="158">
        <v>350000</v>
      </c>
      <c r="I32" s="158"/>
      <c r="J32" s="159" t="s">
        <v>323</v>
      </c>
      <c r="K32" s="161"/>
      <c r="L32" s="158"/>
      <c r="M32" s="477" t="s">
        <v>548</v>
      </c>
    </row>
    <row r="33" spans="1:13" ht="51" customHeight="1">
      <c r="A33" s="154" t="s">
        <v>356</v>
      </c>
      <c r="B33" s="155">
        <v>801</v>
      </c>
      <c r="C33" s="155">
        <v>80195</v>
      </c>
      <c r="D33" s="155"/>
      <c r="E33" s="162" t="s">
        <v>535</v>
      </c>
      <c r="F33" s="157">
        <v>2115840</v>
      </c>
      <c r="G33" s="158">
        <f t="shared" si="0"/>
        <v>2115840</v>
      </c>
      <c r="H33" s="158">
        <v>0</v>
      </c>
      <c r="I33" s="158">
        <v>2115840</v>
      </c>
      <c r="J33" s="159" t="s">
        <v>323</v>
      </c>
      <c r="K33" s="161" t="s">
        <v>227</v>
      </c>
      <c r="L33" s="158"/>
      <c r="M33" s="477" t="s">
        <v>548</v>
      </c>
    </row>
    <row r="34" spans="1:13" ht="51" customHeight="1">
      <c r="A34" s="154" t="s">
        <v>357</v>
      </c>
      <c r="B34" s="155">
        <v>801</v>
      </c>
      <c r="C34" s="155">
        <v>80195</v>
      </c>
      <c r="D34" s="155"/>
      <c r="E34" s="162" t="s">
        <v>537</v>
      </c>
      <c r="F34" s="157">
        <v>200000</v>
      </c>
      <c r="G34" s="158">
        <f t="shared" si="0"/>
        <v>200000</v>
      </c>
      <c r="H34" s="157" t="s">
        <v>227</v>
      </c>
      <c r="I34" s="158"/>
      <c r="J34" s="159" t="s">
        <v>323</v>
      </c>
      <c r="K34" s="478">
        <v>200000</v>
      </c>
      <c r="L34" s="158"/>
      <c r="M34" s="477" t="s">
        <v>548</v>
      </c>
    </row>
    <row r="35" spans="1:13" ht="51" customHeight="1">
      <c r="A35" s="154" t="s">
        <v>359</v>
      </c>
      <c r="B35" s="155">
        <v>851</v>
      </c>
      <c r="C35" s="155">
        <v>85154</v>
      </c>
      <c r="D35" s="155"/>
      <c r="E35" s="162" t="s">
        <v>459</v>
      </c>
      <c r="F35" s="157">
        <v>295000</v>
      </c>
      <c r="G35" s="158">
        <f t="shared" si="0"/>
        <v>295000</v>
      </c>
      <c r="H35" s="158">
        <v>30000</v>
      </c>
      <c r="I35" s="158">
        <v>265000</v>
      </c>
      <c r="J35" s="159" t="s">
        <v>323</v>
      </c>
      <c r="K35" s="161" t="s">
        <v>227</v>
      </c>
      <c r="L35" s="158"/>
      <c r="M35" s="477" t="s">
        <v>548</v>
      </c>
    </row>
    <row r="36" spans="1:13" ht="46.5" customHeight="1">
      <c r="A36" s="154" t="s">
        <v>361</v>
      </c>
      <c r="B36" s="155">
        <v>900</v>
      </c>
      <c r="C36" s="155">
        <v>90001</v>
      </c>
      <c r="D36" s="155"/>
      <c r="E36" s="156" t="s">
        <v>358</v>
      </c>
      <c r="F36" s="157">
        <v>200000</v>
      </c>
      <c r="G36" s="158">
        <f t="shared" si="0"/>
        <v>200000</v>
      </c>
      <c r="H36" s="158">
        <v>20000</v>
      </c>
      <c r="I36" s="157">
        <v>180000</v>
      </c>
      <c r="J36" s="159" t="s">
        <v>323</v>
      </c>
      <c r="K36" s="161" t="s">
        <v>227</v>
      </c>
      <c r="L36" s="158"/>
      <c r="M36" s="477" t="s">
        <v>548</v>
      </c>
    </row>
    <row r="37" spans="1:13" ht="51.75" customHeight="1">
      <c r="A37" s="154" t="s">
        <v>363</v>
      </c>
      <c r="B37" s="155">
        <v>900</v>
      </c>
      <c r="C37" s="155">
        <v>90001</v>
      </c>
      <c r="D37" s="155"/>
      <c r="E37" s="156" t="s">
        <v>360</v>
      </c>
      <c r="F37" s="157">
        <v>50000</v>
      </c>
      <c r="G37" s="158">
        <f t="shared" si="0"/>
        <v>50000</v>
      </c>
      <c r="H37" s="158">
        <v>5000</v>
      </c>
      <c r="I37" s="157">
        <v>45000</v>
      </c>
      <c r="J37" s="159" t="s">
        <v>323</v>
      </c>
      <c r="K37" s="161" t="s">
        <v>227</v>
      </c>
      <c r="L37" s="158"/>
      <c r="M37" s="477" t="s">
        <v>548</v>
      </c>
    </row>
    <row r="38" spans="1:13" ht="51" customHeight="1">
      <c r="A38" s="154" t="s">
        <v>365</v>
      </c>
      <c r="B38" s="155">
        <v>900</v>
      </c>
      <c r="C38" s="155">
        <v>90001</v>
      </c>
      <c r="D38" s="155"/>
      <c r="E38" s="156" t="s">
        <v>362</v>
      </c>
      <c r="F38" s="157">
        <v>80000</v>
      </c>
      <c r="G38" s="158">
        <f t="shared" si="0"/>
        <v>80000</v>
      </c>
      <c r="H38" s="158">
        <v>40000</v>
      </c>
      <c r="I38" s="158">
        <v>40000</v>
      </c>
      <c r="J38" s="159" t="s">
        <v>323</v>
      </c>
      <c r="K38" s="161" t="s">
        <v>227</v>
      </c>
      <c r="L38" s="158"/>
      <c r="M38" s="477" t="s">
        <v>548</v>
      </c>
    </row>
    <row r="39" spans="1:13" ht="51" customHeight="1">
      <c r="A39" s="154" t="s">
        <v>367</v>
      </c>
      <c r="B39" s="155">
        <v>900</v>
      </c>
      <c r="C39" s="155">
        <v>90001</v>
      </c>
      <c r="D39" s="155"/>
      <c r="E39" s="156" t="s">
        <v>364</v>
      </c>
      <c r="F39" s="157">
        <v>1500000</v>
      </c>
      <c r="G39" s="158">
        <f t="shared" si="0"/>
        <v>1500000</v>
      </c>
      <c r="H39" s="158">
        <v>150000</v>
      </c>
      <c r="I39" s="157">
        <v>1350000</v>
      </c>
      <c r="J39" s="159" t="s">
        <v>323</v>
      </c>
      <c r="K39" s="161"/>
      <c r="L39" s="158"/>
      <c r="M39" s="477" t="s">
        <v>548</v>
      </c>
    </row>
    <row r="40" spans="1:13" ht="51" customHeight="1">
      <c r="A40" s="154" t="s">
        <v>452</v>
      </c>
      <c r="B40" s="155">
        <v>900</v>
      </c>
      <c r="C40" s="155">
        <v>90001</v>
      </c>
      <c r="D40" s="155"/>
      <c r="E40" s="156" t="s">
        <v>366</v>
      </c>
      <c r="F40" s="157">
        <v>100000</v>
      </c>
      <c r="G40" s="158">
        <f t="shared" si="0"/>
        <v>100000</v>
      </c>
      <c r="H40" s="158">
        <v>20000</v>
      </c>
      <c r="I40" s="157">
        <v>80000</v>
      </c>
      <c r="J40" s="159" t="s">
        <v>323</v>
      </c>
      <c r="K40" s="161" t="s">
        <v>227</v>
      </c>
      <c r="L40" s="158"/>
      <c r="M40" s="477" t="s">
        <v>548</v>
      </c>
    </row>
    <row r="41" spans="1:13" ht="51" customHeight="1">
      <c r="A41" s="154" t="s">
        <v>453</v>
      </c>
      <c r="B41" s="155">
        <v>900</v>
      </c>
      <c r="C41" s="155">
        <v>90015</v>
      </c>
      <c r="D41" s="155"/>
      <c r="E41" s="156" t="s">
        <v>368</v>
      </c>
      <c r="F41" s="157">
        <v>140000</v>
      </c>
      <c r="G41" s="158">
        <f t="shared" si="0"/>
        <v>140000</v>
      </c>
      <c r="H41" s="158">
        <v>14000</v>
      </c>
      <c r="I41" s="157">
        <v>126000</v>
      </c>
      <c r="J41" s="159" t="s">
        <v>323</v>
      </c>
      <c r="K41" s="161" t="s">
        <v>227</v>
      </c>
      <c r="L41" s="158"/>
      <c r="M41" s="477" t="s">
        <v>548</v>
      </c>
    </row>
    <row r="42" spans="1:13" ht="22.5" customHeight="1">
      <c r="A42" s="593" t="s">
        <v>50</v>
      </c>
      <c r="B42" s="593"/>
      <c r="C42" s="593"/>
      <c r="D42" s="593"/>
      <c r="E42" s="593"/>
      <c r="F42" s="472">
        <f>SUM(F9:F41)</f>
        <v>32259516.61</v>
      </c>
      <c r="G42" s="472">
        <f t="shared" si="0"/>
        <v>32259516.61</v>
      </c>
      <c r="H42" s="472">
        <f>SUM(H9:H41)</f>
        <v>5731473.15</v>
      </c>
      <c r="I42" s="472">
        <f>SUM(I9:I41)</f>
        <v>12423132</v>
      </c>
      <c r="J42" s="473"/>
      <c r="K42" s="474">
        <f>SUM(K9:K41)</f>
        <v>200000</v>
      </c>
      <c r="L42" s="472">
        <f>SUM(L9:L41)</f>
        <v>13904911.46</v>
      </c>
      <c r="M42" s="169" t="s">
        <v>199</v>
      </c>
    </row>
    <row r="44" ht="12.75">
      <c r="A44" s="134" t="s">
        <v>200</v>
      </c>
    </row>
    <row r="45" ht="12.75">
      <c r="A45" s="134" t="s">
        <v>201</v>
      </c>
    </row>
    <row r="46" ht="12.75">
      <c r="A46" s="134" t="s">
        <v>202</v>
      </c>
    </row>
    <row r="47" ht="12.75">
      <c r="A47" s="134" t="s">
        <v>203</v>
      </c>
    </row>
    <row r="49" ht="12.75">
      <c r="A49" s="153" t="s">
        <v>227</v>
      </c>
    </row>
    <row r="61" spans="8:9" ht="12.75">
      <c r="H61" s="475" t="s">
        <v>227</v>
      </c>
      <c r="I61" s="476" t="s">
        <v>227</v>
      </c>
    </row>
  </sheetData>
  <sheetProtection/>
  <mergeCells count="17">
    <mergeCell ref="J8:K8"/>
    <mergeCell ref="F3:F7"/>
    <mergeCell ref="H4:L4"/>
    <mergeCell ref="H5:H7"/>
    <mergeCell ref="I5:I7"/>
    <mergeCell ref="L5:L7"/>
    <mergeCell ref="J5:K7"/>
    <mergeCell ref="A42:E42"/>
    <mergeCell ref="A1:M1"/>
    <mergeCell ref="A3:A7"/>
    <mergeCell ref="B3:B7"/>
    <mergeCell ref="C3:C7"/>
    <mergeCell ref="E3:E7"/>
    <mergeCell ref="G3:L3"/>
    <mergeCell ref="M3:M7"/>
    <mergeCell ref="G4:G7"/>
    <mergeCell ref="D3:D7"/>
  </mergeCells>
  <printOptions horizontalCentered="1"/>
  <pageMargins left="0.5118110236220472" right="0.3937007874015748" top="1.1811023622047245" bottom="0.984251968503937" header="0.5118110236220472" footer="0.5118110236220472"/>
  <pageSetup horizontalDpi="600" verticalDpi="600" orientation="landscape" paperSize="9" r:id="rId1"/>
  <headerFooter alignWithMargins="0">
    <oddHeader>&amp;R&amp;9Tabela nr 8
do Uchwały Nr LIII/415/2010 
Rady Miejskiej  w Łowiczu
z dnia 21 stycznia 2010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0">
      <selection activeCell="E26" sqref="E26"/>
    </sheetView>
  </sheetViews>
  <sheetFormatPr defaultColWidth="9.00390625" defaultRowHeight="12.75"/>
  <cols>
    <col min="1" max="1" width="5.25390625" style="1" bestFit="1" customWidth="1"/>
    <col min="2" max="2" width="7.00390625" style="1" customWidth="1"/>
    <col min="3" max="3" width="9.125" style="1" customWidth="1"/>
    <col min="4" max="4" width="7.00390625" style="1" customWidth="1"/>
    <col min="5" max="5" width="47.625" style="1" customWidth="1"/>
    <col min="6" max="6" width="14.25390625" style="1" customWidth="1"/>
    <col min="7" max="16384" width="9.125" style="1" customWidth="1"/>
  </cols>
  <sheetData>
    <row r="1" spans="1:13" ht="19.5" customHeight="1">
      <c r="A1" s="602" t="s">
        <v>415</v>
      </c>
      <c r="B1" s="602"/>
      <c r="C1" s="602"/>
      <c r="D1" s="602"/>
      <c r="E1" s="602"/>
      <c r="F1" s="602"/>
      <c r="G1" s="4"/>
      <c r="H1" s="4"/>
      <c r="I1" s="4"/>
      <c r="J1" s="4"/>
      <c r="K1" s="4"/>
      <c r="L1" s="4"/>
      <c r="M1" s="4"/>
    </row>
    <row r="2" spans="1:10" ht="19.5" customHeight="1">
      <c r="A2" s="602" t="s">
        <v>416</v>
      </c>
      <c r="B2" s="602"/>
      <c r="C2" s="602"/>
      <c r="D2" s="602"/>
      <c r="E2" s="602"/>
      <c r="F2" s="602"/>
      <c r="G2" s="4"/>
      <c r="H2" s="4"/>
      <c r="I2" s="4"/>
      <c r="J2" s="4"/>
    </row>
    <row r="4" ht="12.75">
      <c r="F4" s="256" t="s">
        <v>27</v>
      </c>
    </row>
    <row r="5" spans="1:13" ht="19.5" customHeight="1">
      <c r="A5" s="255" t="s">
        <v>38</v>
      </c>
      <c r="B5" s="255" t="s">
        <v>417</v>
      </c>
      <c r="C5" s="255" t="s">
        <v>3</v>
      </c>
      <c r="D5" s="255" t="s">
        <v>4</v>
      </c>
      <c r="E5" s="255" t="s">
        <v>0</v>
      </c>
      <c r="F5" s="255" t="s">
        <v>418</v>
      </c>
      <c r="G5" s="271"/>
      <c r="H5" s="271"/>
      <c r="I5" s="271"/>
      <c r="J5" s="271"/>
      <c r="K5" s="271"/>
      <c r="L5" s="45"/>
      <c r="M5" s="45"/>
    </row>
    <row r="6" spans="1:13" ht="19.5" customHeight="1">
      <c r="A6" s="272" t="s">
        <v>419</v>
      </c>
      <c r="B6" s="272">
        <v>900</v>
      </c>
      <c r="C6" s="272"/>
      <c r="D6" s="272"/>
      <c r="E6" s="273" t="s">
        <v>158</v>
      </c>
      <c r="F6" s="274">
        <f>SUM(F7)</f>
        <v>233000</v>
      </c>
      <c r="G6" s="271"/>
      <c r="H6" s="271"/>
      <c r="I6" s="271"/>
      <c r="J6" s="271"/>
      <c r="K6" s="271"/>
      <c r="L6" s="45"/>
      <c r="M6" s="45"/>
    </row>
    <row r="7" spans="1:13" ht="19.5" customHeight="1">
      <c r="A7" s="272"/>
      <c r="B7" s="272"/>
      <c r="C7" s="272">
        <v>90011</v>
      </c>
      <c r="D7" s="272"/>
      <c r="E7" s="273" t="s">
        <v>420</v>
      </c>
      <c r="F7" s="274">
        <f>SUM(F8:F9)</f>
        <v>233000</v>
      </c>
      <c r="G7" s="271"/>
      <c r="H7" s="271"/>
      <c r="I7" s="271"/>
      <c r="J7" s="271"/>
      <c r="K7" s="271"/>
      <c r="L7" s="45"/>
      <c r="M7" s="45"/>
    </row>
    <row r="8" spans="1:13" ht="19.5" customHeight="1">
      <c r="A8" s="275" t="s">
        <v>412</v>
      </c>
      <c r="B8" s="275" t="s">
        <v>227</v>
      </c>
      <c r="C8" s="275" t="s">
        <v>227</v>
      </c>
      <c r="D8" s="275"/>
      <c r="E8" s="276" t="s">
        <v>402</v>
      </c>
      <c r="F8" s="277">
        <v>3000</v>
      </c>
      <c r="G8" s="271"/>
      <c r="H8" s="271"/>
      <c r="I8" s="271"/>
      <c r="J8" s="271"/>
      <c r="K8" s="271"/>
      <c r="L8" s="45"/>
      <c r="M8" s="45"/>
    </row>
    <row r="9" spans="1:13" ht="19.5" customHeight="1">
      <c r="A9" s="275" t="s">
        <v>421</v>
      </c>
      <c r="B9" s="275"/>
      <c r="C9" s="275"/>
      <c r="D9" s="275"/>
      <c r="E9" s="276" t="s">
        <v>403</v>
      </c>
      <c r="F9" s="277">
        <f>SUM(F10)</f>
        <v>230000</v>
      </c>
      <c r="G9" s="271"/>
      <c r="H9" s="271"/>
      <c r="I9" s="271"/>
      <c r="J9" s="271"/>
      <c r="K9" s="271"/>
      <c r="L9" s="45"/>
      <c r="M9" s="45"/>
    </row>
    <row r="10" spans="1:13" ht="27" customHeight="1">
      <c r="A10" s="278" t="s">
        <v>7</v>
      </c>
      <c r="B10" s="278"/>
      <c r="C10" s="278"/>
      <c r="D10" s="278">
        <v>2960</v>
      </c>
      <c r="E10" s="279" t="s">
        <v>422</v>
      </c>
      <c r="F10" s="280">
        <v>230000</v>
      </c>
      <c r="G10" s="271"/>
      <c r="H10" s="271"/>
      <c r="I10" s="271"/>
      <c r="J10" s="271"/>
      <c r="K10" s="271"/>
      <c r="L10" s="45"/>
      <c r="M10" s="45"/>
    </row>
    <row r="11" spans="1:13" ht="19.5" customHeight="1">
      <c r="A11" s="281" t="s">
        <v>8</v>
      </c>
      <c r="B11" s="281"/>
      <c r="C11" s="281"/>
      <c r="D11" s="281"/>
      <c r="E11" s="282"/>
      <c r="F11" s="283"/>
      <c r="G11" s="271"/>
      <c r="H11" s="271"/>
      <c r="I11" s="271"/>
      <c r="J11" s="271"/>
      <c r="K11" s="271"/>
      <c r="L11" s="45"/>
      <c r="M11" s="45"/>
    </row>
    <row r="12" spans="1:13" ht="19.5" customHeight="1">
      <c r="A12" s="284" t="s">
        <v>9</v>
      </c>
      <c r="B12" s="284"/>
      <c r="C12" s="284"/>
      <c r="D12" s="284"/>
      <c r="E12" s="285"/>
      <c r="F12" s="286"/>
      <c r="G12" s="271"/>
      <c r="H12" s="271"/>
      <c r="I12" s="271"/>
      <c r="J12" s="271"/>
      <c r="K12" s="271"/>
      <c r="L12" s="45"/>
      <c r="M12" s="45"/>
    </row>
    <row r="13" spans="1:13" ht="19.5" customHeight="1">
      <c r="A13" s="275" t="s">
        <v>423</v>
      </c>
      <c r="B13" s="275"/>
      <c r="C13" s="275"/>
      <c r="D13" s="275"/>
      <c r="E13" s="276" t="s">
        <v>404</v>
      </c>
      <c r="F13" s="277">
        <f>SUM(F14,F19)</f>
        <v>230000</v>
      </c>
      <c r="G13" s="271"/>
      <c r="H13" s="271"/>
      <c r="I13" s="271"/>
      <c r="J13" s="271"/>
      <c r="K13" s="271"/>
      <c r="L13" s="45"/>
      <c r="M13" s="45"/>
    </row>
    <row r="14" spans="1:13" ht="19.5" customHeight="1">
      <c r="A14" s="287" t="s">
        <v>7</v>
      </c>
      <c r="B14" s="287"/>
      <c r="C14" s="287"/>
      <c r="D14" s="287"/>
      <c r="E14" s="288" t="s">
        <v>125</v>
      </c>
      <c r="F14" s="289">
        <f>SUM(F15:F18)</f>
        <v>184135</v>
      </c>
      <c r="G14" s="271"/>
      <c r="H14" s="271"/>
      <c r="I14" s="271"/>
      <c r="J14" s="271"/>
      <c r="K14" s="271"/>
      <c r="L14" s="45"/>
      <c r="M14" s="45"/>
    </row>
    <row r="15" spans="1:13" ht="19.5" customHeight="1">
      <c r="A15" s="278"/>
      <c r="B15" s="278"/>
      <c r="C15" s="278"/>
      <c r="D15" s="278">
        <v>4210</v>
      </c>
      <c r="E15" s="290" t="s">
        <v>424</v>
      </c>
      <c r="F15" s="280">
        <v>20000</v>
      </c>
      <c r="G15" s="271"/>
      <c r="H15" s="271"/>
      <c r="I15" s="271"/>
      <c r="J15" s="271"/>
      <c r="K15" s="271"/>
      <c r="L15" s="45"/>
      <c r="M15" s="45"/>
    </row>
    <row r="16" spans="1:13" ht="19.5" customHeight="1">
      <c r="A16" s="278"/>
      <c r="B16" s="278"/>
      <c r="C16" s="278"/>
      <c r="D16" s="278">
        <v>4300</v>
      </c>
      <c r="E16" s="290" t="s">
        <v>425</v>
      </c>
      <c r="F16" s="280">
        <v>60000</v>
      </c>
      <c r="G16" s="271"/>
      <c r="H16" s="271"/>
      <c r="I16" s="271"/>
      <c r="J16" s="271"/>
      <c r="K16" s="271"/>
      <c r="L16" s="45"/>
      <c r="M16" s="45"/>
    </row>
    <row r="17" spans="1:13" ht="19.5" customHeight="1">
      <c r="A17" s="278"/>
      <c r="B17" s="278"/>
      <c r="C17" s="278"/>
      <c r="D17" s="278">
        <v>4430</v>
      </c>
      <c r="E17" s="290" t="s">
        <v>426</v>
      </c>
      <c r="F17" s="280">
        <v>94135</v>
      </c>
      <c r="G17" s="271"/>
      <c r="H17" s="271"/>
      <c r="I17" s="271"/>
      <c r="J17" s="271"/>
      <c r="K17" s="271"/>
      <c r="L17" s="45"/>
      <c r="M17" s="45"/>
    </row>
    <row r="18" spans="1:13" ht="19.5" customHeight="1">
      <c r="A18" s="278"/>
      <c r="B18" s="278"/>
      <c r="C18" s="278"/>
      <c r="D18" s="278">
        <v>4530</v>
      </c>
      <c r="E18" s="290" t="s">
        <v>427</v>
      </c>
      <c r="F18" s="280">
        <v>10000</v>
      </c>
      <c r="G18" s="271"/>
      <c r="H18" s="271"/>
      <c r="I18" s="271"/>
      <c r="J18" s="271"/>
      <c r="K18" s="271"/>
      <c r="L18" s="45"/>
      <c r="M18" s="45"/>
    </row>
    <row r="19" spans="1:13" ht="19.5" customHeight="1">
      <c r="A19" s="281" t="s">
        <v>8</v>
      </c>
      <c r="B19" s="281"/>
      <c r="C19" s="281"/>
      <c r="D19" s="281"/>
      <c r="E19" s="291" t="s">
        <v>126</v>
      </c>
      <c r="F19" s="292">
        <f>SUM(F20)</f>
        <v>45865</v>
      </c>
      <c r="G19" s="271"/>
      <c r="H19" s="271"/>
      <c r="I19" s="271"/>
      <c r="J19" s="271"/>
      <c r="K19" s="271"/>
      <c r="L19" s="45"/>
      <c r="M19" s="45"/>
    </row>
    <row r="20" spans="1:13" ht="15">
      <c r="A20" s="281"/>
      <c r="B20" s="281"/>
      <c r="C20" s="281"/>
      <c r="D20" s="281">
        <v>6110</v>
      </c>
      <c r="E20" s="293" t="s">
        <v>428</v>
      </c>
      <c r="F20" s="283">
        <v>45865</v>
      </c>
      <c r="G20" s="271"/>
      <c r="H20" s="271"/>
      <c r="I20" s="271"/>
      <c r="J20" s="271"/>
      <c r="K20" s="271"/>
      <c r="L20" s="45"/>
      <c r="M20" s="45"/>
    </row>
    <row r="21" spans="1:13" ht="15" customHeight="1">
      <c r="A21" s="284"/>
      <c r="B21" s="284"/>
      <c r="C21" s="284"/>
      <c r="D21" s="284"/>
      <c r="E21" s="294"/>
      <c r="F21" s="286"/>
      <c r="G21" s="271"/>
      <c r="H21" s="271"/>
      <c r="I21" s="271"/>
      <c r="J21" s="271"/>
      <c r="K21" s="271"/>
      <c r="L21" s="45"/>
      <c r="M21" s="45"/>
    </row>
    <row r="22" spans="1:13" ht="19.5" customHeight="1">
      <c r="A22" s="275" t="s">
        <v>429</v>
      </c>
      <c r="B22" s="275"/>
      <c r="C22" s="275"/>
      <c r="D22" s="275"/>
      <c r="E22" s="276" t="s">
        <v>405</v>
      </c>
      <c r="F22" s="277" t="s">
        <v>430</v>
      </c>
      <c r="G22" s="271"/>
      <c r="H22" s="271"/>
      <c r="I22" s="271"/>
      <c r="J22" s="271"/>
      <c r="K22" s="271"/>
      <c r="L22" s="45"/>
      <c r="M22" s="45"/>
    </row>
    <row r="23" spans="1:13" ht="15">
      <c r="A23" s="271"/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45"/>
      <c r="M23" s="45"/>
    </row>
    <row r="24" spans="1:13" ht="15">
      <c r="A24" s="271"/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45"/>
      <c r="M24" s="45"/>
    </row>
    <row r="25" spans="1:13" ht="15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45"/>
      <c r="M25" s="45"/>
    </row>
    <row r="26" spans="1:13" ht="15">
      <c r="A26" s="271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45"/>
      <c r="M26" s="45"/>
    </row>
    <row r="27" spans="1:13" ht="15">
      <c r="A27" s="271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45"/>
      <c r="M27" s="45"/>
    </row>
    <row r="28" spans="1:13" ht="15">
      <c r="A28" s="271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45"/>
      <c r="M28" s="45"/>
    </row>
    <row r="29" spans="1:13" ht="1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 ht="1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ht="1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</sheetData>
  <sheetProtection/>
  <mergeCells count="2">
    <mergeCell ref="A1:F1"/>
    <mergeCell ref="A2:F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&amp;RTabela nr  9
 do Uchwały Nr LIII/415/2010
Rady Miejskiej w Łowiczu
z dnia 21 stycznia 2010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Magdalena Michalska</cp:lastModifiedBy>
  <cp:lastPrinted>2010-02-02T13:45:36Z</cp:lastPrinted>
  <dcterms:created xsi:type="dcterms:W3CDTF">1998-12-09T13:02:10Z</dcterms:created>
  <dcterms:modified xsi:type="dcterms:W3CDTF">2010-02-02T13:47:31Z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-1793112869</vt:i4>
  </property>
  <property fmtid="{D5CDD505-2E9C-101B-9397-08002B2CF9AE}" pid="3" name="_EmailSubject">
    <vt:lpwstr>Budżet na 2010 -Uchwała i załączniki</vt:lpwstr>
  </property>
  <property fmtid="{D5CDD505-2E9C-101B-9397-08002B2CF9AE}" pid="4" name="_AuthorEmail">
    <vt:lpwstr>michalskam@um.lowicz.pl</vt:lpwstr>
  </property>
  <property fmtid="{D5CDD505-2E9C-101B-9397-08002B2CF9AE}" pid="5" name="_AuthorEmailDisplayName">
    <vt:lpwstr>Magdalena Michalska</vt:lpwstr>
  </property>
  <property fmtid="{D5CDD505-2E9C-101B-9397-08002B2CF9AE}" pid="6" name="_PreviousAdHocReviewCycleID">
    <vt:i4>315365592</vt:i4>
  </property>
</Properties>
</file>